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15" windowWidth="20520" windowHeight="4005"/>
  </bookViews>
  <sheets>
    <sheet name="9.07 Notice" sheetId="7" r:id="rId1"/>
    <sheet name="9.07 Graphique 1" sheetId="6" r:id="rId2"/>
    <sheet name="9.07 Tableau 2" sheetId="1" r:id="rId3"/>
    <sheet name="9.07 Tableau 3" sheetId="2" r:id="rId4"/>
    <sheet name="9.07 Tableau 4" sheetId="3" r:id="rId5"/>
  </sheets>
  <calcPr calcId="162913"/>
</workbook>
</file>

<file path=xl/calcChain.xml><?xml version="1.0" encoding="utf-8"?>
<calcChain xmlns="http://schemas.openxmlformats.org/spreadsheetml/2006/main">
  <c r="C6" i="6" l="1"/>
  <c r="D6" i="6"/>
  <c r="E6" i="6"/>
  <c r="F6" i="6"/>
  <c r="G6" i="6"/>
  <c r="H6" i="6"/>
  <c r="I6" i="6"/>
  <c r="J6" i="6"/>
  <c r="K6" i="6"/>
  <c r="L6" i="6"/>
  <c r="M6" i="6"/>
  <c r="N6" i="6"/>
  <c r="O6" i="6"/>
  <c r="P6" i="6"/>
  <c r="Q6" i="6"/>
  <c r="R6" i="6"/>
  <c r="S6" i="6"/>
  <c r="T6" i="6"/>
  <c r="U6" i="6"/>
  <c r="V6" i="6"/>
  <c r="W6" i="6"/>
  <c r="T7" i="6"/>
  <c r="U7" i="6"/>
  <c r="V7" i="6"/>
  <c r="W7" i="6"/>
  <c r="X7" i="6"/>
  <c r="Y7" i="6"/>
  <c r="Z7" i="6"/>
  <c r="AA7" i="6"/>
  <c r="AB7" i="6"/>
  <c r="C8" i="6"/>
  <c r="D8" i="6"/>
  <c r="E8" i="6"/>
  <c r="F8" i="6"/>
  <c r="G8" i="6"/>
  <c r="H8" i="6"/>
  <c r="I8" i="6"/>
  <c r="J8" i="6"/>
  <c r="K8" i="6"/>
  <c r="L8" i="6"/>
  <c r="M8" i="6"/>
  <c r="N8" i="6"/>
  <c r="O8" i="6"/>
  <c r="P8" i="6"/>
  <c r="Q8" i="6"/>
  <c r="R8" i="6"/>
  <c r="S8" i="6"/>
  <c r="T8" i="6"/>
  <c r="U8" i="6"/>
  <c r="V8" i="6"/>
  <c r="W8" i="6"/>
  <c r="T9" i="6"/>
  <c r="U9" i="6"/>
  <c r="V9" i="6"/>
  <c r="W9" i="6"/>
  <c r="X9" i="6"/>
  <c r="Y9" i="6"/>
  <c r="Z9" i="6"/>
  <c r="AA9" i="6"/>
  <c r="AB9" i="6"/>
  <c r="C10" i="6"/>
  <c r="D10" i="6"/>
  <c r="E10" i="6"/>
  <c r="F10" i="6"/>
  <c r="G10" i="6"/>
  <c r="H10" i="6"/>
  <c r="I10" i="6"/>
  <c r="J10" i="6"/>
  <c r="K10" i="6"/>
  <c r="L10" i="6"/>
  <c r="M10" i="6"/>
  <c r="N10" i="6"/>
  <c r="O10" i="6"/>
  <c r="P10" i="6"/>
  <c r="Q10" i="6"/>
  <c r="R10" i="6"/>
  <c r="S10" i="6"/>
  <c r="T10" i="6"/>
  <c r="U10" i="6"/>
  <c r="V10" i="6"/>
  <c r="W10" i="6"/>
  <c r="T11" i="6"/>
  <c r="U11" i="6"/>
  <c r="V11" i="6"/>
  <c r="W11" i="6"/>
  <c r="X11" i="6"/>
  <c r="Y11" i="6"/>
  <c r="Z11" i="6"/>
  <c r="AA11" i="6"/>
  <c r="AB11" i="6"/>
</calcChain>
</file>

<file path=xl/sharedStrings.xml><?xml version="1.0" encoding="utf-8"?>
<sst xmlns="http://schemas.openxmlformats.org/spreadsheetml/2006/main" count="141" uniqueCount="111">
  <si>
    <t>2001-2002</t>
  </si>
  <si>
    <t>2005-2006</t>
  </si>
  <si>
    <t>2010-2011</t>
  </si>
  <si>
    <t>2011-2012</t>
  </si>
  <si>
    <t>En % d'étudiants concernés</t>
  </si>
  <si>
    <t xml:space="preserve">         dont : IUT</t>
  </si>
  <si>
    <t>CPGE</t>
  </si>
  <si>
    <t>STS</t>
  </si>
  <si>
    <t>Autres écoles</t>
  </si>
  <si>
    <t>Montant annuel</t>
  </si>
  <si>
    <t>Ensemble</t>
  </si>
  <si>
    <t xml:space="preserve">Boursiers </t>
  </si>
  <si>
    <t>2012-2013</t>
  </si>
  <si>
    <t>2013-2014</t>
  </si>
  <si>
    <t>2014-2015</t>
  </si>
  <si>
    <t xml:space="preserve">                  Filières ingénieurs</t>
  </si>
  <si>
    <t>Échelon 0</t>
  </si>
  <si>
    <t>Échelon 1</t>
  </si>
  <si>
    <t>Échelon 2</t>
  </si>
  <si>
    <t>Échelon 3</t>
  </si>
  <si>
    <t>Échelon 4</t>
  </si>
  <si>
    <t>Échelon 6</t>
  </si>
  <si>
    <t>Échelon 5</t>
  </si>
  <si>
    <t>Échelon 7</t>
  </si>
  <si>
    <t>2015-2016</t>
  </si>
  <si>
    <t>Boursiers sur critères sociaux</t>
  </si>
  <si>
    <t>dont aide au mérite</t>
  </si>
  <si>
    <t>Total bourses</t>
  </si>
  <si>
    <t>Bourses sur critères sociaux</t>
  </si>
  <si>
    <t>2016-2017</t>
  </si>
  <si>
    <t>Université (1)</t>
  </si>
  <si>
    <t xml:space="preserve">         dont : économiques et commerciales</t>
  </si>
  <si>
    <t xml:space="preserve">                  littéraires       </t>
  </si>
  <si>
    <t xml:space="preserve">                  scientifiques</t>
  </si>
  <si>
    <t>STS et assimilées</t>
  </si>
  <si>
    <t xml:space="preserve">         dont : STS production</t>
  </si>
  <si>
    <t xml:space="preserve">                   STS services</t>
  </si>
  <si>
    <t>Formations d'ingénieurs hors université</t>
  </si>
  <si>
    <t>Écoles de commerce</t>
  </si>
  <si>
    <t>Grands établissements de type universitaire</t>
  </si>
  <si>
    <t>Scolarité à l'étranger (1)</t>
  </si>
  <si>
    <t>1995-1996</t>
  </si>
  <si>
    <t>1996-1997</t>
  </si>
  <si>
    <t>1997-1998</t>
  </si>
  <si>
    <t>1998-1999</t>
  </si>
  <si>
    <t>1999-2000</t>
  </si>
  <si>
    <t>2000-2001</t>
  </si>
  <si>
    <t>2002-2003</t>
  </si>
  <si>
    <t>2003-2004</t>
  </si>
  <si>
    <t>2004-2005</t>
  </si>
  <si>
    <t>2006-2007</t>
  </si>
  <si>
    <t>2007-2008</t>
  </si>
  <si>
    <t>2008-2009</t>
  </si>
  <si>
    <t>2009-2010</t>
  </si>
  <si>
    <t>ancienne méthode</t>
  </si>
  <si>
    <t>Universités</t>
  </si>
  <si>
    <t>méthode révisée</t>
  </si>
  <si>
    <t xml:space="preserve">STS </t>
  </si>
  <si>
    <t>[3] Effectifs et proportions de boursiers sur critères sociaux selon la formation suivie</t>
  </si>
  <si>
    <t>2017-2018</t>
  </si>
  <si>
    <t>[2] Évolution du nombre d'étudiants bénéficiant d'une aide financière</t>
  </si>
  <si>
    <t>Part de boursiers (%)</t>
  </si>
  <si>
    <r>
      <rPr>
        <b/>
        <sz val="8"/>
        <rFont val="Arial"/>
        <family val="2"/>
      </rPr>
      <t>1.</t>
    </r>
    <r>
      <rPr>
        <sz val="8"/>
        <rFont val="Arial"/>
        <family val="2"/>
      </rPr>
      <t xml:space="preserve"> Avant révision, cela comprend les universités, universités de technologie, écoles normales supérieures, instituts nationaux polytechniques, instituts d'études politiques, établissements privés d'enseignement universitaire. Après révision, uniquement les universités.</t>
    </r>
  </si>
  <si>
    <r>
      <rPr>
        <b/>
        <sz val="8"/>
        <rFont val="Arial"/>
        <family val="2"/>
      </rPr>
      <t>2.</t>
    </r>
    <r>
      <rPr>
        <sz val="8"/>
        <rFont val="Arial"/>
        <family val="2"/>
      </rPr>
      <t xml:space="preserve"> En 2009, les étudiants inscrits dans les IUFM intégrés dans une université de rattachement ne sont pas comptabilisés. On dénombre 13 422 boursiers dans les IUFM rattachés aux universités en 2009-2010.</t>
    </r>
  </si>
  <si>
    <t>En % d'étudiants concernés (méthode révisée)</t>
  </si>
  <si>
    <t>Ensemble des étudiants percevant au moins une aide (1)</t>
  </si>
  <si>
    <t>2018-2019</t>
  </si>
  <si>
    <t>► Champ : France métropolitaine + DROM (Mayotte depuis 2013-2014).</t>
  </si>
  <si>
    <t>► Champ : France métropolitaine + DROM.</t>
  </si>
  <si>
    <r>
      <rPr>
        <b/>
        <sz val="8"/>
        <rFont val="Arial"/>
        <family val="2"/>
      </rPr>
      <t>1.</t>
    </r>
    <r>
      <rPr>
        <sz val="8"/>
        <rFont val="Arial"/>
        <family val="2"/>
      </rPr>
      <t xml:space="preserve"> Il s'agit d'étudiants qui perçoivent une bourse sur critères sociaux en étant inscrits dans un établissement d'enseignement supérieur étranger.</t>
    </r>
  </si>
  <si>
    <t>2019-2020</t>
  </si>
  <si>
    <t>2019 (%)</t>
  </si>
  <si>
    <t>Etablissements d'enseignement universitaire privés </t>
  </si>
  <si>
    <t>[4] Répartition des boursiers sur critères sociaux par montant annuel des bourses en 2020-2021</t>
  </si>
  <si>
    <t>2020-2021</t>
  </si>
  <si>
    <r>
      <t>1.</t>
    </r>
    <r>
      <rPr>
        <sz val="8"/>
        <rFont val="Arial"/>
        <family val="2"/>
      </rPr>
      <t xml:space="preserve"> Il est possible de cumuler plusieurs aides. Ainsi en 2020-2021, 19 143 étudiants ont perçu une bourse sur critères sociaux et l'aide specifique ponctuelle, 1 160 une allocation annuelle et l'aide ponctuelle. Les aides prises en compte sont les bourses sur critères sociaux, les bourses sur critères universitaires (supprimées en 2008), les bourses de mérite (remplacées progressivement à partir de 2008 par les aides au mérite), les allocations d’études (supprimées en 2008), les prêts d’honneur (supprimés en 2009), les aides du fonds national d’aide d’urgence devenues aides spécifiques.</t>
    </r>
  </si>
  <si>
    <t>Effectifs 2020</t>
  </si>
  <si>
    <t>Part de boursiers échelons 5 à 7 en 2020 (%)</t>
  </si>
  <si>
    <t xml:space="preserve"> 2020-2021 (en €)</t>
  </si>
  <si>
    <t>2020 (%)</t>
  </si>
  <si>
    <t>Universités et assimilés (1) (2)</t>
  </si>
  <si>
    <t>9.07 L'aide aux étudiants</t>
  </si>
  <si>
    <t>SIES</t>
  </si>
  <si>
    <r>
      <t>Source :SIES-MESRI / Systèmes d'information AGLAE (extractions annuelles au</t>
    </r>
    <r>
      <rPr>
        <sz val="8"/>
        <rFont val="UniversLTStd-Cn"/>
      </rPr>
      <t xml:space="preserve"> 15 mars n+1</t>
    </r>
    <r>
      <rPr>
        <sz val="8"/>
        <color indexed="8"/>
        <rFont val="UniversLTStd-Cn"/>
      </rPr>
      <t>), SISE et SCOLARITE.</t>
    </r>
  </si>
  <si>
    <r>
      <t>[1] Évolution de la proportion d'étudiants boursiers sur critères sociaux à l'université, en STS et en CPGE</t>
    </r>
    <r>
      <rPr>
        <sz val="9"/>
        <rFont val="Arial"/>
        <family val="2"/>
      </rPr>
      <t>, en %</t>
    </r>
  </si>
  <si>
    <t>RERS 2022, DEPP, SIES</t>
  </si>
  <si>
    <r>
      <t>Source : SIES-MESR / Systèmes d'information AGLAE (extractions annue</t>
    </r>
    <r>
      <rPr>
        <sz val="8"/>
        <rFont val="UniversLTStd-Cn"/>
      </rPr>
      <t>lles au 15 mars n+1</t>
    </r>
    <r>
      <rPr>
        <sz val="8"/>
        <color indexed="8"/>
        <rFont val="UniversLTStd-Cn"/>
      </rPr>
      <t>), SISE et SCOLARITE, enquêtes menées par le SIES sur les établissements d'enseignement supérieur.</t>
    </r>
  </si>
  <si>
    <r>
      <t>Source : SIES-MESR / Systèmes d'information AGLAE (extractions annuelles au</t>
    </r>
    <r>
      <rPr>
        <sz val="8"/>
        <rFont val="UniversLTStd-Cn"/>
      </rPr>
      <t xml:space="preserve"> 15 mars 2021</t>
    </r>
    <r>
      <rPr>
        <sz val="8"/>
        <color indexed="8"/>
        <rFont val="UniversLTStd-Cn"/>
      </rPr>
      <t>), SISE et SCOLARITE, enquêtes menées par le SIES sur les établissements d'enseignement supérieur.</t>
    </r>
  </si>
  <si>
    <t>Source : SIES-MESR, système d'information AGLAE (extractions au 15 mars 2020 et 15 mars 2021).</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</si>
  <si>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</si>
  <si>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</si>
  <si>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</si>
  <si>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</si>
  <si>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9.07 L’aide aux étudiants</t>
  </si>
  <si>
    <t>Sommaire</t>
  </si>
  <si>
    <t>Précisions</t>
  </si>
  <si>
    <r>
      <t xml:space="preserve">Les </t>
    </r>
    <r>
      <rPr>
        <b/>
        <sz val="8"/>
        <color rgb="FF000000"/>
        <rFont val="Arial"/>
        <family val="2"/>
      </rPr>
      <t>aides financières</t>
    </r>
    <r>
      <rPr>
        <sz val="8"/>
        <color rgb="FF000000"/>
        <rFont val="Arial"/>
        <family val="2"/>
      </rPr>
      <t xml:space="preserve"> comptabilisées correspondent aux principales aides destinées aux étudiants dans le champ du ministère en charge de l’enseignement supérieur : bourses sur critères sociaux, aides spécifiques et ponctuelles.</t>
    </r>
  </si>
  <si>
    <r>
      <t xml:space="preserve">Aides au mérite, aides spécifiques, proportion d’étudiants aidés </t>
    </r>
    <r>
      <rPr>
        <sz val="8"/>
        <color rgb="FF000000"/>
        <rFont val="Arial"/>
        <family val="2"/>
      </rPr>
      <t>- Voir « Glossaire ».</t>
    </r>
  </si>
  <si>
    <t>Pour en savoir plus</t>
  </si>
  <si>
    <r>
      <t>- Note Flash du SIES</t>
    </r>
    <r>
      <rPr>
        <sz val="8"/>
        <color rgb="FF000000"/>
        <rFont val="Arial"/>
        <family val="2"/>
      </rPr>
      <t> : 20.21.</t>
    </r>
  </si>
  <si>
    <t>Source</t>
  </si>
  <si>
    <r>
      <t xml:space="preserve">SIES-MESRI, Systèmes d’information Aglae (extractions annuelles au 15 mars </t>
    </r>
    <r>
      <rPr>
        <i/>
        <sz val="8"/>
        <color rgb="FF000065"/>
        <rFont val="Arial"/>
        <family val="2"/>
      </rPr>
      <t>n+1</t>
    </r>
    <r>
      <rPr>
        <sz val="8"/>
        <color rgb="FF000065"/>
        <rFont val="Arial"/>
        <family val="2"/>
      </rPr>
      <t>), SISE et Scolarite, enquêtes menées par le SIES sur les établissements d’enseignement supérieur.</t>
    </r>
  </si>
  <si>
    <t>Enquêtes réalisées auprès des entreprises et des administrations. Insee, PIB.</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</si>
  <si>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</si>
  <si>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</si>
  <si>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</si>
  <si>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</si>
  <si>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</si>
  <si>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</si>
  <si>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proportion d'étudiants boursiers sur critères sociaux à l'université, en STS et en CPGE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</si>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</sst>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0"/>
    <numFmt numFmtId="167" formatCode="0&quot; F&quot;;\ \-0&quot; F&quot;"/>
    <numFmt numFmtId="168" formatCode="0.0%"/>
    <numFmt numFmtId="169"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 numFmtId="174" formatCode="[$-F800]dddd\,\ mmmm\ dd\,\ yyyy"/>
  </numFmts>
  <fonts count="64">
    <font>
      <sz val="10"/>
      <name val="Arial"/>
    </font>
    <font>
      <sz val="10"/>
      <name val="Arial"/>
      <family val="2"/>
    </font>
    <font>
      <b/>
      <sz val="12"/>
      <name val="Arial"/>
      <family val="2"/>
    </font>
    <font>
      <b/>
      <sz val="10"/>
      <name val="Arial"/>
      <family val="2"/>
    </font>
    <font>
      <b/>
      <sz val="9"/>
      <name val="Arial"/>
      <family val="2"/>
    </font>
    <font>
      <sz val="8"/>
      <name val="Arial"/>
      <family val="2"/>
    </font>
    <font>
      <b/>
      <sz val="8"/>
      <color indexed="9"/>
      <name val="Arial"/>
      <family val="2"/>
    </font>
    <font>
      <i/>
      <sz val="8"/>
      <name val="Arial"/>
      <family val="2"/>
    </font>
    <font>
      <b/>
      <sz val="8"/>
      <name val="Arial"/>
      <family val="2"/>
    </font>
    <font>
      <sz val="10"/>
      <name val="Arial"/>
      <family val="2"/>
    </font>
    <font>
      <sz val="8"/>
      <name val="Arial"/>
      <family val="2"/>
    </font>
    <font>
      <sz val="11"/>
      <color indexed="8"/>
      <name val="Calibri"/>
      <family val="2"/>
    </font>
    <font>
      <b/>
      <sz val="11"/>
      <name val="Arial"/>
      <family val="2"/>
    </font>
    <font>
      <sz val="8"/>
      <color indexed="8"/>
      <name val="Arial"/>
      <family val="2"/>
    </font>
    <font>
      <sz val="8"/>
      <color indexed="8"/>
      <name val="UniversLTStd-Cn"/>
    </font>
    <font>
      <sz val="8"/>
      <name val="UniversLTStd-Cn"/>
    </font>
    <font>
      <sz val="10"/>
      <name val="Arial"/>
      <family val="2"/>
    </font>
    <font>
      <sz val="11"/>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rgb="FF000000"/>
      <name val="UniversLTStd-Cn"/>
    </font>
    <font>
      <b/>
      <sz val="8"/>
      <color theme="1"/>
      <name val="Arial"/>
      <family val="2"/>
    </font>
    <font>
      <i/>
      <sz val="10"/>
      <name val="Arial"/>
      <family val="2"/>
    </font>
    <font>
      <b/>
      <sz val="12"/>
      <color rgb="FF000000"/>
      <name val="Arial"/>
      <family val="2"/>
    </font>
    <font>
      <b/>
      <sz val="10"/>
      <color rgb="FF0000FF"/>
      <name val="Arial"/>
      <family val="2"/>
    </font>
    <font>
      <sz val="8"/>
      <color rgb="FF000000"/>
      <name val="Arial"/>
      <family val="2"/>
    </font>
    <font>
      <b/>
      <sz val="8"/>
      <color rgb="FF000000"/>
      <name val="Arial"/>
      <family val="2"/>
    </font>
    <font>
      <b/>
      <sz val="8"/>
      <color rgb="FF000065"/>
      <name val="Arial"/>
      <family val="2"/>
    </font>
    <font>
      <i/>
      <sz val="8"/>
      <color rgb="FF000000"/>
      <name val="Arial"/>
      <family val="2"/>
    </font>
    <font>
      <sz val="8"/>
      <color rgb="FF000065"/>
      <name val="Arial"/>
      <family val="2"/>
    </font>
    <font>
      <i/>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theme="0" tint="-0.249977111117893"/>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9"/>
      </bottom>
      <diagonal/>
    </border>
    <border>
      <left/>
      <right/>
      <top style="medium">
        <color indexed="9"/>
      </top>
      <bottom/>
      <diagonal/>
    </border>
    <border>
      <left/>
      <right style="thin">
        <color theme="0"/>
      </right>
      <top/>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indexed="9"/>
      </bottom>
      <diagonal/>
    </border>
    <border>
      <left style="thin">
        <color theme="0"/>
      </left>
      <right style="thin">
        <color theme="0"/>
      </right>
      <top style="medium">
        <color indexed="9"/>
      </top>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hair">
        <color theme="0"/>
      </left>
      <right/>
      <top/>
      <bottom/>
      <diagonal/>
    </border>
    <border>
      <left style="thin">
        <color theme="0"/>
      </left>
      <right style="hair">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83">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5" fillId="16" borderId="1"/>
    <xf numFmtId="0" fontId="23" fillId="17" borderId="2" applyNumberFormat="0" applyAlignment="0" applyProtection="0"/>
    <xf numFmtId="0" fontId="5"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9" fillId="20" borderId="0">
      <alignment horizontal="center" wrapText="1"/>
    </xf>
    <xf numFmtId="0" fontId="26" fillId="19" borderId="0">
      <alignment horizontal="center"/>
    </xf>
    <xf numFmtId="170" fontId="27" fillId="0" borderId="0" applyFont="0" applyFill="0" applyBorder="0" applyAlignment="0" applyProtection="0"/>
    <xf numFmtId="171" fontId="9"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3"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3" fillId="20" borderId="0">
      <alignment horizontal="center"/>
    </xf>
    <xf numFmtId="0" fontId="5" fillId="19" borderId="9">
      <alignment wrapText="1"/>
    </xf>
    <xf numFmtId="0" fontId="38" fillId="19" borderId="10"/>
    <xf numFmtId="0" fontId="38" fillId="19" borderId="11"/>
    <xf numFmtId="0" fontId="5" fillId="19" borderId="12">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9" fillId="0" borderId="4" applyNumberFormat="0" applyFill="0" applyAlignment="0" applyProtection="0"/>
    <xf numFmtId="0" fontId="9" fillId="0" borderId="0" applyFont="0" applyFill="0" applyBorder="0" applyAlignment="0" applyProtection="0"/>
    <xf numFmtId="164" fontId="1" fillId="0" borderId="0" applyFont="0" applyFill="0" applyBorder="0" applyAlignment="0" applyProtection="0"/>
    <xf numFmtId="0" fontId="40" fillId="23" borderId="0" applyNumberFormat="0" applyBorder="0" applyAlignment="0" applyProtection="0"/>
    <xf numFmtId="0" fontId="41" fillId="0" borderId="0"/>
    <xf numFmtId="0" fontId="11" fillId="0" borderId="0" applyFill="0" applyProtection="0"/>
    <xf numFmtId="0" fontId="9" fillId="0" borderId="0"/>
    <xf numFmtId="0" fontId="20" fillId="0" borderId="0"/>
    <xf numFmtId="0" fontId="9" fillId="0" borderId="0"/>
    <xf numFmtId="0" fontId="49" fillId="0" borderId="0"/>
    <xf numFmtId="0" fontId="20" fillId="0" borderId="0"/>
    <xf numFmtId="0" fontId="9" fillId="0" borderId="0"/>
    <xf numFmtId="0" fontId="42" fillId="17" borderId="13"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NumberFormat="0" applyFont="0" applyFill="0" applyBorder="0" applyAlignment="0" applyProtection="0"/>
    <xf numFmtId="0" fontId="5" fillId="19" borderId="3"/>
    <xf numFmtId="0" fontId="25"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4" fillId="19" borderId="0">
      <alignment horizontal="center"/>
    </xf>
    <xf numFmtId="0" fontId="18" fillId="0" borderId="0" applyNumberFormat="0" applyFill="0" applyBorder="0" applyAlignment="0" applyProtection="0"/>
    <xf numFmtId="0" fontId="8" fillId="19" borderId="0"/>
    <xf numFmtId="0" fontId="47" fillId="0" borderId="0" applyNumberFormat="0" applyFill="0" applyBorder="0" applyAlignment="0" applyProtection="0"/>
    <xf numFmtId="0" fontId="1" fillId="0" borderId="0"/>
  </cellStyleXfs>
  <cellXfs count="142">
    <xf numFmtId="0" fontId="0" fillId="0" borderId="0" xfId="0"/>
    <xf numFmtId="0" fontId="2" fillId="0" borderId="0" xfId="0" applyFont="1" applyAlignment="1">
      <alignment vertical="top"/>
    </xf>
    <xf numFmtId="0" fontId="3" fillId="0" borderId="0" xfId="0" applyFont="1"/>
    <xf numFmtId="165" fontId="5" fillId="0" borderId="0" xfId="0" applyNumberFormat="1" applyFont="1" applyFill="1" applyBorder="1"/>
    <xf numFmtId="166" fontId="5" fillId="0" borderId="0" xfId="0" applyNumberFormat="1" applyFont="1" applyFill="1" applyBorder="1" applyAlignment="1" applyProtection="1">
      <alignment horizontal="right"/>
      <protection locked="0"/>
    </xf>
    <xf numFmtId="165" fontId="5" fillId="0" borderId="0" xfId="0" applyNumberFormat="1" applyFont="1"/>
    <xf numFmtId="3" fontId="5" fillId="0" borderId="0" xfId="0" applyNumberFormat="1" applyFont="1" applyFill="1" applyBorder="1" applyAlignment="1">
      <alignment horizontal="right"/>
    </xf>
    <xf numFmtId="0" fontId="5" fillId="21" borderId="18" xfId="0" applyFont="1" applyFill="1" applyBorder="1"/>
    <xf numFmtId="0" fontId="5" fillId="19" borderId="18" xfId="0" applyFont="1" applyFill="1" applyBorder="1"/>
    <xf numFmtId="3" fontId="5" fillId="21" borderId="19" xfId="0" quotePrefix="1" applyNumberFormat="1" applyFont="1" applyFill="1" applyBorder="1" applyAlignment="1">
      <alignment horizontal="right"/>
    </xf>
    <xf numFmtId="165" fontId="5" fillId="21" borderId="19" xfId="67" applyNumberFormat="1" applyFont="1" applyFill="1" applyBorder="1"/>
    <xf numFmtId="165" fontId="5" fillId="19" borderId="19" xfId="67" applyNumberFormat="1" applyFont="1" applyFill="1" applyBorder="1"/>
    <xf numFmtId="1" fontId="5" fillId="0" borderId="0" xfId="0" applyNumberFormat="1" applyFont="1" applyFill="1" applyBorder="1" applyAlignment="1"/>
    <xf numFmtId="165" fontId="7" fillId="0" borderId="0" xfId="0" applyNumberFormat="1" applyFont="1" applyFill="1" applyBorder="1" applyAlignment="1">
      <alignment horizontal="right" indent="1"/>
    </xf>
    <xf numFmtId="3" fontId="7" fillId="0" borderId="0" xfId="0" applyNumberFormat="1" applyFont="1" applyFill="1" applyBorder="1" applyAlignment="1">
      <alignment horizontal="right"/>
    </xf>
    <xf numFmtId="0" fontId="5" fillId="21" borderId="0" xfId="0" applyFont="1" applyFill="1" applyBorder="1"/>
    <xf numFmtId="166" fontId="5" fillId="21" borderId="0" xfId="0" applyNumberFormat="1" applyFont="1" applyFill="1" applyBorder="1" applyAlignment="1">
      <alignment horizontal="center"/>
    </xf>
    <xf numFmtId="166" fontId="5" fillId="21" borderId="18" xfId="0" applyNumberFormat="1" applyFont="1" applyFill="1" applyBorder="1" applyAlignment="1">
      <alignment horizontal="center"/>
    </xf>
    <xf numFmtId="3" fontId="5" fillId="21" borderId="0" xfId="0" applyNumberFormat="1" applyFont="1" applyFill="1" applyBorder="1" applyAlignment="1">
      <alignment horizontal="center"/>
    </xf>
    <xf numFmtId="0" fontId="7" fillId="19" borderId="0" xfId="0" applyFont="1" applyFill="1" applyBorder="1" applyAlignment="1">
      <alignment horizontal="left"/>
    </xf>
    <xf numFmtId="166" fontId="5" fillId="19" borderId="0" xfId="0" applyNumberFormat="1" applyFont="1" applyFill="1" applyBorder="1" applyAlignment="1">
      <alignment horizontal="center"/>
    </xf>
    <xf numFmtId="166" fontId="5" fillId="19" borderId="18" xfId="0" applyNumberFormat="1" applyFont="1" applyFill="1" applyBorder="1" applyAlignment="1">
      <alignment horizontal="center"/>
    </xf>
    <xf numFmtId="3" fontId="5" fillId="19" borderId="0" xfId="0" applyNumberFormat="1" applyFont="1" applyFill="1" applyBorder="1" applyAlignment="1">
      <alignment horizontal="center"/>
    </xf>
    <xf numFmtId="0" fontId="9" fillId="0" borderId="0" xfId="63"/>
    <xf numFmtId="168" fontId="0" fillId="0" borderId="0" xfId="68" applyNumberFormat="1" applyFont="1"/>
    <xf numFmtId="3" fontId="5" fillId="21" borderId="18" xfId="0" applyNumberFormat="1" applyFont="1" applyFill="1" applyBorder="1"/>
    <xf numFmtId="3" fontId="5" fillId="19" borderId="18" xfId="0" applyNumberFormat="1" applyFont="1" applyFill="1" applyBorder="1"/>
    <xf numFmtId="165" fontId="5" fillId="0" borderId="0" xfId="0" applyNumberFormat="1" applyFont="1" applyFill="1"/>
    <xf numFmtId="0" fontId="0" fillId="0" borderId="0" xfId="0" applyFill="1"/>
    <xf numFmtId="0" fontId="8" fillId="0" borderId="0" xfId="0" applyFont="1" applyFill="1"/>
    <xf numFmtId="0" fontId="5" fillId="0" borderId="0" xfId="0" applyFont="1" applyFill="1"/>
    <xf numFmtId="165" fontId="5" fillId="0" borderId="20" xfId="0" applyNumberFormat="1" applyFont="1" applyFill="1" applyBorder="1"/>
    <xf numFmtId="166" fontId="5" fillId="0" borderId="20" xfId="0" applyNumberFormat="1" applyFont="1" applyFill="1" applyBorder="1" applyAlignment="1" applyProtection="1">
      <alignment horizontal="right"/>
      <protection locked="0"/>
    </xf>
    <xf numFmtId="165" fontId="6" fillId="25" borderId="16" xfId="0" applyNumberFormat="1" applyFont="1" applyFill="1" applyBorder="1" applyAlignment="1">
      <alignment horizontal="right" wrapText="1"/>
    </xf>
    <xf numFmtId="3" fontId="6" fillId="25" borderId="17" xfId="0" applyNumberFormat="1" applyFont="1" applyFill="1" applyBorder="1" applyAlignment="1">
      <alignment horizontal="left" wrapText="1"/>
    </xf>
    <xf numFmtId="3" fontId="52" fillId="25" borderId="17" xfId="0" applyNumberFormat="1" applyFont="1" applyFill="1" applyBorder="1" applyAlignment="1">
      <alignment horizontal="right"/>
    </xf>
    <xf numFmtId="0" fontId="4" fillId="0" borderId="0" xfId="0" applyFont="1" applyFill="1"/>
    <xf numFmtId="0" fontId="5" fillId="0" borderId="0" xfId="0" applyFont="1" applyFill="1" applyAlignment="1">
      <alignment horizontal="right"/>
    </xf>
    <xf numFmtId="0" fontId="6" fillId="25" borderId="0" xfId="0" applyFont="1" applyFill="1" applyBorder="1" applyAlignment="1">
      <alignment vertical="center" wrapText="1"/>
    </xf>
    <xf numFmtId="166" fontId="6" fillId="25" borderId="0" xfId="0" applyNumberFormat="1" applyFont="1" applyFill="1" applyBorder="1" applyAlignment="1">
      <alignment horizontal="center"/>
    </xf>
    <xf numFmtId="166" fontId="6" fillId="25" borderId="18" xfId="0" applyNumberFormat="1" applyFont="1" applyFill="1" applyBorder="1" applyAlignment="1">
      <alignment horizontal="center"/>
    </xf>
    <xf numFmtId="3" fontId="6" fillId="25" borderId="0" xfId="0" applyNumberFormat="1" applyFont="1" applyFill="1" applyBorder="1" applyAlignment="1">
      <alignment horizontal="center"/>
    </xf>
    <xf numFmtId="0" fontId="6" fillId="25" borderId="19" xfId="0" applyFont="1" applyFill="1" applyBorder="1" applyAlignment="1">
      <alignment horizontal="right" vertical="top"/>
    </xf>
    <xf numFmtId="0" fontId="6" fillId="25" borderId="18" xfId="0" applyFont="1" applyFill="1" applyBorder="1" applyAlignment="1">
      <alignment vertical="top"/>
    </xf>
    <xf numFmtId="3" fontId="6" fillId="25" borderId="19" xfId="0" applyNumberFormat="1" applyFont="1" applyFill="1" applyBorder="1" applyAlignment="1">
      <alignment horizontal="right" vertical="top"/>
    </xf>
    <xf numFmtId="165" fontId="6" fillId="25" borderId="19" xfId="0" applyNumberFormat="1" applyFont="1" applyFill="1" applyBorder="1" applyAlignment="1">
      <alignment horizontal="right" vertical="top"/>
    </xf>
    <xf numFmtId="0" fontId="8" fillId="0" borderId="0" xfId="0" applyFont="1" applyFill="1" applyProtection="1">
      <protection locked="0"/>
    </xf>
    <xf numFmtId="0" fontId="9" fillId="0" borderId="0" xfId="0" applyFont="1" applyFill="1" applyProtection="1">
      <protection locked="0"/>
    </xf>
    <xf numFmtId="3" fontId="9" fillId="0" borderId="0" xfId="0" applyNumberFormat="1" applyFont="1" applyFill="1" applyAlignment="1" applyProtection="1">
      <alignment horizontal="center"/>
      <protection locked="0"/>
    </xf>
    <xf numFmtId="0" fontId="9" fillId="0" borderId="0" xfId="63" applyFill="1"/>
    <xf numFmtId="165" fontId="6" fillId="25" borderId="21" xfId="0" applyNumberFormat="1" applyFont="1" applyFill="1" applyBorder="1" applyAlignment="1">
      <alignment horizontal="right" wrapText="1"/>
    </xf>
    <xf numFmtId="3" fontId="5" fillId="0" borderId="19" xfId="0" applyNumberFormat="1" applyFont="1" applyFill="1" applyBorder="1" applyAlignment="1">
      <alignment horizontal="right"/>
    </xf>
    <xf numFmtId="3" fontId="7" fillId="0" borderId="19" xfId="0" applyNumberFormat="1" applyFont="1" applyFill="1" applyBorder="1" applyAlignment="1">
      <alignment horizontal="right"/>
    </xf>
    <xf numFmtId="3" fontId="52" fillId="25" borderId="22" xfId="0" applyNumberFormat="1" applyFont="1" applyFill="1" applyBorder="1" applyAlignment="1">
      <alignment horizontal="right"/>
    </xf>
    <xf numFmtId="167" fontId="4" fillId="0" borderId="0" xfId="0" applyNumberFormat="1" applyFont="1" applyAlignment="1" applyProtection="1">
      <alignment wrapText="1"/>
      <protection locked="0"/>
    </xf>
    <xf numFmtId="0" fontId="4" fillId="0" borderId="0" xfId="0" applyFont="1" applyFill="1" applyAlignment="1">
      <alignment wrapText="1"/>
    </xf>
    <xf numFmtId="0" fontId="5" fillId="26" borderId="18" xfId="0" applyFont="1" applyFill="1" applyBorder="1"/>
    <xf numFmtId="0" fontId="5" fillId="26" borderId="19" xfId="0" quotePrefix="1" applyFont="1" applyFill="1" applyBorder="1" applyAlignment="1">
      <alignment horizontal="right"/>
    </xf>
    <xf numFmtId="3" fontId="5" fillId="26" borderId="19" xfId="0" quotePrefix="1" applyNumberFormat="1" applyFont="1" applyFill="1" applyBorder="1" applyAlignment="1">
      <alignment horizontal="right"/>
    </xf>
    <xf numFmtId="165" fontId="5" fillId="26" borderId="19" xfId="67" applyNumberFormat="1" applyFont="1" applyFill="1" applyBorder="1"/>
    <xf numFmtId="165" fontId="0" fillId="0" borderId="0" xfId="0" applyNumberFormat="1"/>
    <xf numFmtId="10" fontId="0" fillId="0" borderId="0" xfId="67" applyNumberFormat="1" applyFont="1" applyFill="1"/>
    <xf numFmtId="9" fontId="0" fillId="0" borderId="0" xfId="67" applyFont="1" applyFill="1"/>
    <xf numFmtId="0" fontId="5" fillId="0" borderId="0" xfId="0" applyFont="1" applyFill="1" applyAlignment="1">
      <alignment wrapText="1"/>
    </xf>
    <xf numFmtId="9" fontId="0" fillId="0" borderId="0" xfId="67" applyFont="1"/>
    <xf numFmtId="3" fontId="0" fillId="0" borderId="0" xfId="0" applyNumberFormat="1"/>
    <xf numFmtId="0" fontId="53" fillId="0" borderId="0" xfId="0" applyFont="1" applyFill="1" applyAlignment="1">
      <alignment vertical="center" wrapText="1"/>
    </xf>
    <xf numFmtId="1" fontId="5" fillId="0" borderId="20" xfId="0" applyNumberFormat="1" applyFont="1" applyFill="1" applyBorder="1" applyAlignment="1"/>
    <xf numFmtId="0" fontId="11" fillId="25" borderId="0" xfId="57" applyFill="1" applyBorder="1"/>
    <xf numFmtId="0" fontId="11" fillId="25" borderId="23" xfId="57" applyFill="1" applyBorder="1"/>
    <xf numFmtId="1" fontId="5" fillId="0" borderId="23" xfId="0" applyNumberFormat="1" applyFont="1" applyFill="1" applyBorder="1" applyAlignment="1"/>
    <xf numFmtId="1" fontId="5" fillId="0" borderId="24" xfId="0" applyNumberFormat="1" applyFont="1" applyFill="1" applyBorder="1" applyAlignment="1"/>
    <xf numFmtId="165" fontId="6" fillId="25" borderId="23" xfId="0" applyNumberFormat="1" applyFont="1" applyFill="1" applyBorder="1" applyAlignment="1">
      <alignment horizontal="right" wrapText="1"/>
    </xf>
    <xf numFmtId="0" fontId="2" fillId="0" borderId="0" xfId="0" applyFont="1" applyFill="1" applyAlignment="1">
      <alignment vertical="top"/>
    </xf>
    <xf numFmtId="0" fontId="12" fillId="0" borderId="0" xfId="0" applyFont="1" applyAlignment="1">
      <alignment vertical="top"/>
    </xf>
    <xf numFmtId="0" fontId="17" fillId="0" borderId="0" xfId="0" applyFont="1"/>
    <xf numFmtId="0" fontId="17" fillId="0" borderId="0" xfId="63" applyFont="1"/>
    <xf numFmtId="166" fontId="7" fillId="19" borderId="0" xfId="0" applyNumberFormat="1" applyFont="1" applyFill="1" applyBorder="1" applyAlignment="1">
      <alignment horizontal="center"/>
    </xf>
    <xf numFmtId="166" fontId="7" fillId="19" borderId="18" xfId="0" applyNumberFormat="1" applyFont="1" applyFill="1" applyBorder="1" applyAlignment="1">
      <alignment horizontal="center"/>
    </xf>
    <xf numFmtId="3" fontId="7" fillId="19" borderId="0" xfId="0" applyNumberFormat="1" applyFont="1" applyFill="1" applyBorder="1" applyAlignment="1">
      <alignment horizontal="center"/>
    </xf>
    <xf numFmtId="0" fontId="7" fillId="21" borderId="0" xfId="0" applyFont="1" applyFill="1" applyBorder="1"/>
    <xf numFmtId="166" fontId="7" fillId="21" borderId="0" xfId="0" applyNumberFormat="1" applyFont="1" applyFill="1" applyBorder="1" applyAlignment="1">
      <alignment horizontal="center"/>
    </xf>
    <xf numFmtId="166" fontId="7" fillId="21" borderId="18" xfId="0" applyNumberFormat="1" applyFont="1" applyFill="1" applyBorder="1" applyAlignment="1">
      <alignment horizontal="center"/>
    </xf>
    <xf numFmtId="3" fontId="7" fillId="21" borderId="0" xfId="0" applyNumberFormat="1" applyFont="1" applyFill="1" applyBorder="1" applyAlignment="1">
      <alignment horizontal="center"/>
    </xf>
    <xf numFmtId="0" fontId="5" fillId="19" borderId="0" xfId="0" applyFont="1" applyFill="1" applyBorder="1" applyAlignment="1">
      <alignment horizontal="left"/>
    </xf>
    <xf numFmtId="0" fontId="6" fillId="25" borderId="0" xfId="0" applyFont="1" applyFill="1" applyBorder="1" applyAlignment="1">
      <alignment horizontal="center" vertical="center" wrapText="1"/>
    </xf>
    <xf numFmtId="0" fontId="6" fillId="25" borderId="18" xfId="0" applyFont="1" applyFill="1" applyBorder="1" applyAlignment="1">
      <alignment horizontal="center" vertical="center" wrapText="1"/>
    </xf>
    <xf numFmtId="165" fontId="0" fillId="0" borderId="0" xfId="67" applyNumberFormat="1" applyFont="1" applyFill="1"/>
    <xf numFmtId="3" fontId="5" fillId="19" borderId="19" xfId="0" applyNumberFormat="1" applyFont="1" applyFill="1" applyBorder="1" applyAlignment="1">
      <alignment horizontal="right"/>
    </xf>
    <xf numFmtId="0" fontId="8" fillId="0" borderId="0" xfId="0" applyFont="1" applyFill="1" applyAlignment="1">
      <alignment vertical="top"/>
    </xf>
    <xf numFmtId="168" fontId="5" fillId="0" borderId="0" xfId="67" applyNumberFormat="1" applyFont="1" applyFill="1" applyBorder="1" applyAlignment="1">
      <alignment horizontal="right"/>
    </xf>
    <xf numFmtId="169" fontId="5" fillId="0" borderId="23" xfId="54" applyNumberFormat="1" applyFont="1" applyFill="1" applyBorder="1" applyAlignment="1">
      <alignment horizontal="right"/>
    </xf>
    <xf numFmtId="169" fontId="9" fillId="0" borderId="0" xfId="54" applyNumberFormat="1" applyFont="1"/>
    <xf numFmtId="169" fontId="5" fillId="0" borderId="23" xfId="67" applyNumberFormat="1" applyFont="1" applyFill="1" applyBorder="1" applyAlignment="1">
      <alignment horizontal="right"/>
    </xf>
    <xf numFmtId="169" fontId="5" fillId="0" borderId="24" xfId="67" applyNumberFormat="1" applyFont="1" applyFill="1" applyBorder="1" applyAlignment="1">
      <alignment horizontal="right"/>
    </xf>
    <xf numFmtId="169" fontId="5" fillId="0" borderId="24" xfId="54" applyNumberFormat="1" applyFont="1" applyFill="1" applyBorder="1" applyAlignment="1">
      <alignment horizontal="right"/>
    </xf>
    <xf numFmtId="166" fontId="5" fillId="0" borderId="19" xfId="0" applyNumberFormat="1" applyFont="1" applyFill="1" applyBorder="1" applyAlignment="1">
      <alignment horizontal="right"/>
    </xf>
    <xf numFmtId="0" fontId="9" fillId="0" borderId="0" xfId="0" applyFont="1"/>
    <xf numFmtId="166" fontId="5" fillId="0" borderId="0" xfId="0" applyNumberFormat="1" applyFont="1" applyFill="1" applyBorder="1" applyAlignment="1">
      <alignment horizontal="right"/>
    </xf>
    <xf numFmtId="0" fontId="54" fillId="0" borderId="0" xfId="0" applyFont="1" applyFill="1" applyAlignment="1" applyProtection="1">
      <alignment vertical="top"/>
      <protection locked="0"/>
    </xf>
    <xf numFmtId="166" fontId="8" fillId="0" borderId="20" xfId="0" applyNumberFormat="1" applyFont="1" applyFill="1" applyBorder="1" applyAlignment="1" applyProtection="1">
      <alignment horizontal="right"/>
      <protection locked="0"/>
    </xf>
    <xf numFmtId="165" fontId="5" fillId="21" borderId="25" xfId="0" applyNumberFormat="1" applyFont="1" applyFill="1" applyBorder="1" applyAlignment="1">
      <alignment horizontal="center"/>
    </xf>
    <xf numFmtId="165" fontId="7" fillId="19" borderId="25" xfId="0" applyNumberFormat="1" applyFont="1" applyFill="1" applyBorder="1" applyAlignment="1">
      <alignment horizontal="center"/>
    </xf>
    <xf numFmtId="165" fontId="7" fillId="21" borderId="25" xfId="0" applyNumberFormat="1" applyFont="1" applyFill="1" applyBorder="1" applyAlignment="1">
      <alignment horizontal="center"/>
    </xf>
    <xf numFmtId="165" fontId="5" fillId="19" borderId="25" xfId="0" applyNumberFormat="1" applyFont="1" applyFill="1" applyBorder="1" applyAlignment="1">
      <alignment horizontal="center"/>
    </xf>
    <xf numFmtId="166" fontId="52" fillId="25" borderId="25" xfId="0" applyNumberFormat="1" applyFont="1" applyFill="1" applyBorder="1" applyAlignment="1">
      <alignment horizontal="center"/>
    </xf>
    <xf numFmtId="0" fontId="5" fillId="0" borderId="0" xfId="0" applyFont="1" applyFill="1" applyAlignment="1">
      <alignment horizontal="right" vertical="top"/>
    </xf>
    <xf numFmtId="0" fontId="55" fillId="0" borderId="0" xfId="82" applyFont="1"/>
    <xf numFmtId="0" fontId="1" fillId="0" borderId="0" xfId="82"/>
    <xf numFmtId="174" fontId="55" fillId="0" borderId="0" xfId="82" applyNumberFormat="1" applyFont="1" applyAlignment="1">
      <alignment horizontal="right" wrapText="1"/>
    </xf>
    <xf numFmtId="0" fontId="1" fillId="0" borderId="0" xfId="82" applyFont="1" applyAlignment="1">
      <alignment horizontal="center" wrapText="1"/>
    </xf>
    <xf numFmtId="0" fontId="51" fillId="0" borderId="0" xfId="51" applyAlignment="1">
      <alignment vertical="center" wrapText="1"/>
    </xf>
    <xf numFmtId="0" fontId="56" fillId="0" borderId="0" xfId="82" applyFont="1" applyAlignment="1">
      <alignment vertical="center" wrapText="1"/>
    </xf>
    <xf numFmtId="0" fontId="1" fillId="0" borderId="0" xfId="82" applyFont="1"/>
    <xf numFmtId="0" fontId="57" fillId="0" borderId="0" xfId="82" applyFont="1" applyFill="1" applyAlignment="1">
      <alignment vertical="center" wrapText="1"/>
    </xf>
    <xf numFmtId="0" fontId="4" fillId="0" borderId="0" xfId="82" applyFont="1" applyAlignment="1">
      <alignment wrapText="1"/>
    </xf>
    <xf numFmtId="0" fontId="57" fillId="0" borderId="0" xfId="82" applyFont="1" applyFill="1" applyAlignment="1">
      <alignment vertical="center"/>
    </xf>
    <xf numFmtId="0" fontId="58" fillId="0" borderId="0" xfId="82" applyFont="1" applyAlignment="1">
      <alignment horizontal="justify" vertical="center" wrapText="1"/>
    </xf>
    <xf numFmtId="0" fontId="60" fillId="0" borderId="0" xfId="82" applyFont="1" applyAlignment="1">
      <alignment horizontal="justify" vertical="center" wrapText="1"/>
    </xf>
    <xf numFmtId="0" fontId="57" fillId="0" borderId="0" xfId="82" applyFont="1" applyAlignment="1">
      <alignment horizontal="justify" vertical="center" wrapText="1"/>
    </xf>
    <xf numFmtId="0" fontId="61" fillId="0" borderId="0" xfId="82" applyFont="1" applyAlignment="1">
      <alignment vertical="center" wrapText="1"/>
    </xf>
    <xf numFmtId="0" fontId="57" fillId="0" borderId="0" xfId="82" applyFont="1" applyAlignment="1">
      <alignment vertical="center" wrapText="1"/>
    </xf>
    <xf numFmtId="0" fontId="62" fillId="0" borderId="0" xfId="82" applyFont="1" applyAlignment="1">
      <alignment vertical="center" wrapText="1"/>
    </xf>
    <xf numFmtId="0" fontId="5" fillId="0" borderId="0" xfId="82" applyFont="1" applyAlignment="1">
      <alignment wrapText="1"/>
    </xf>
    <xf numFmtId="0" fontId="5" fillId="0" borderId="0" xfId="82" applyFont="1"/>
    <xf numFmtId="0" fontId="53"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left" wrapText="1"/>
    </xf>
    <xf numFmtId="0" fontId="8" fillId="0" borderId="0" xfId="0" applyFont="1" applyFill="1" applyAlignment="1">
      <alignment horizontal="left" wrapText="1"/>
    </xf>
    <xf numFmtId="0" fontId="0" fillId="0" borderId="0" xfId="0" applyAlignment="1"/>
    <xf numFmtId="0" fontId="0" fillId="0" borderId="0" xfId="0" applyAlignment="1">
      <alignment horizontal="left" vertical="center" wrapText="1"/>
    </xf>
    <xf numFmtId="0" fontId="6" fillId="25" borderId="25" xfId="0" applyFont="1" applyFill="1" applyBorder="1" applyAlignment="1">
      <alignment horizontal="center" vertical="top" wrapText="1"/>
    </xf>
    <xf numFmtId="167" fontId="4" fillId="0" borderId="0" xfId="0" applyNumberFormat="1" applyFont="1" applyAlignment="1" applyProtection="1">
      <alignment wrapText="1"/>
      <protection locked="0"/>
    </xf>
    <xf numFmtId="0" fontId="6" fillId="25" borderId="0" xfId="0" applyFont="1" applyFill="1" applyBorder="1" applyAlignment="1">
      <alignment horizontal="center"/>
    </xf>
    <xf numFmtId="0" fontId="6" fillId="25" borderId="26" xfId="0" applyFont="1" applyFill="1" applyBorder="1" applyAlignment="1">
      <alignment horizontal="center" vertical="center" wrapText="1"/>
    </xf>
    <xf numFmtId="0" fontId="6" fillId="25" borderId="27" xfId="0" applyFont="1" applyFill="1" applyBorder="1" applyAlignment="1">
      <alignment horizontal="center" vertical="center" wrapText="1"/>
    </xf>
    <xf numFmtId="0" fontId="6" fillId="25" borderId="28" xfId="0" applyFont="1" applyFill="1" applyBorder="1" applyAlignment="1">
      <alignment horizontal="center" vertical="center" wrapText="1"/>
    </xf>
    <xf numFmtId="0" fontId="6" fillId="25" borderId="29" xfId="0" applyFont="1" applyFill="1" applyBorder="1" applyAlignment="1">
      <alignment horizontal="center" vertical="center" wrapText="1"/>
    </xf>
    <xf numFmtId="0" fontId="4" fillId="0" borderId="0" xfId="0" applyFont="1" applyFill="1" applyAlignment="1">
      <alignment wrapText="1"/>
    </xf>
    <xf numFmtId="0" fontId="6" fillId="25" borderId="18" xfId="0" applyFont="1" applyFill="1" applyBorder="1" applyAlignment="1">
      <alignment vertical="top"/>
    </xf>
    <xf numFmtId="0" fontId="12" fillId="0" borderId="0" xfId="0" applyFont="1" applyAlignment="1">
      <alignment vertical="top"/>
    </xf>
    <xf numFmtId="0" fontId="5" fillId="0" borderId="0" xfId="0" applyFont="1" applyFill="1" applyAlignment="1"/>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2_TC_A1 2" xfId="82"/>
    <cellStyle name="Normal 3" xfId="61"/>
    <cellStyle name="Normal 3 2" xfId="62"/>
    <cellStyle name="Normal 4" xfId="63"/>
    <cellStyle name="Output" xfId="64"/>
    <cellStyle name="Percent 2" xfId="65"/>
    <cellStyle name="Percent_1 SubOverv.USd" xfId="66"/>
    <cellStyle name="Pourcentage" xfId="67" builtinId="5"/>
    <cellStyle name="Pourcentage 2" xfId="68"/>
    <cellStyle name="Pourcentage 3"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255667844669017E-2"/>
          <c:y val="0.17499976481434446"/>
          <c:w val="0.88382693542617519"/>
          <c:h val="0.48912162861362762"/>
        </c:manualLayout>
      </c:layout>
      <c:lineChart>
        <c:grouping val="standard"/>
        <c:varyColors val="0"/>
        <c:ser>
          <c:idx val="0"/>
          <c:order val="0"/>
          <c:tx>
            <c:strRef>
              <c:f>'9.07 Graphique 1'!$A$6</c:f>
              <c:strCache>
                <c:ptCount val="1"/>
                <c:pt idx="0">
                  <c:v>Universités et assimilés (1) (2)</c:v>
                </c:pt>
              </c:strCache>
            </c:strRef>
          </c:tx>
          <c:spPr>
            <a:ln cmpd="sng">
              <a:solidFill>
                <a:srgbClr val="0000FF"/>
              </a:solidFill>
              <a:prstDash val="dash"/>
            </a:ln>
          </c:spPr>
          <c:marker>
            <c:symbol val="none"/>
          </c:marker>
          <c:cat>
            <c:strRef>
              <c:f>'9.07 Graphique 1'!$C$5:$AB$5</c:f>
              <c:strCache>
                <c:ptCount val="26"/>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pt idx="25">
                  <c:v>2020-2021</c:v>
                </c:pt>
              </c:strCache>
            </c:strRef>
          </c:cat>
          <c:val>
            <c:numRef>
              <c:f>'9.07 Graphique 1'!$C$6:$X$6</c:f>
              <c:numCache>
                <c:formatCode>_-* #.##0\.0\ _€_-;\-* #.##0\.0\ _€_-;_-* "-"??\ _€_-;_-@_-</c:formatCode>
                <c:ptCount val="22"/>
                <c:pt idx="0">
                  <c:v>21.213770900420801</c:v>
                </c:pt>
                <c:pt idx="1">
                  <c:v>20.4090312079976</c:v>
                </c:pt>
                <c:pt idx="2">
                  <c:v>21.283912102482098</c:v>
                </c:pt>
                <c:pt idx="3">
                  <c:v>22.463210248514301</c:v>
                </c:pt>
                <c:pt idx="4">
                  <c:v>25.467823057269399</c:v>
                </c:pt>
                <c:pt idx="5">
                  <c:v>26.616021211060097</c:v>
                </c:pt>
                <c:pt idx="6">
                  <c:v>27.387936118134597</c:v>
                </c:pt>
                <c:pt idx="7">
                  <c:v>27.571144989994799</c:v>
                </c:pt>
                <c:pt idx="8">
                  <c:v>27.7837222645338</c:v>
                </c:pt>
                <c:pt idx="9">
                  <c:v>28.206428949363698</c:v>
                </c:pt>
                <c:pt idx="10">
                  <c:v>28.7967074775623</c:v>
                </c:pt>
                <c:pt idx="11">
                  <c:v>28.4</c:v>
                </c:pt>
                <c:pt idx="12">
                  <c:v>28.4</c:v>
                </c:pt>
                <c:pt idx="13">
                  <c:v>31</c:v>
                </c:pt>
                <c:pt idx="14">
                  <c:v>32.5</c:v>
                </c:pt>
                <c:pt idx="15">
                  <c:v>33.800000000000004</c:v>
                </c:pt>
                <c:pt idx="16">
                  <c:v>35</c:v>
                </c:pt>
                <c:pt idx="17">
                  <c:v>35.099999999999994</c:v>
                </c:pt>
                <c:pt idx="18">
                  <c:v>34.799999999999997</c:v>
                </c:pt>
                <c:pt idx="19">
                  <c:v>34.699999999999996</c:v>
                </c:pt>
                <c:pt idx="20">
                  <c:v>34.5</c:v>
                </c:pt>
              </c:numCache>
            </c:numRef>
          </c:val>
          <c:smooth val="0"/>
          <c:extLst>
            <c:ext xmlns:c16="http://schemas.microsoft.com/office/drawing/2014/chart" uri="{C3380CC4-5D6E-409C-BE32-E72D297353CC}">
              <c16:uniqueId val="{00000000-46AA-4817-94D1-4D57B058BE89}"/>
            </c:ext>
          </c:extLst>
        </c:ser>
        <c:ser>
          <c:idx val="1"/>
          <c:order val="1"/>
          <c:tx>
            <c:strRef>
              <c:f>'9.07 Graphique 1'!$A$8</c:f>
              <c:strCache>
                <c:ptCount val="1"/>
                <c:pt idx="0">
                  <c:v>STS </c:v>
                </c:pt>
              </c:strCache>
            </c:strRef>
          </c:tx>
          <c:spPr>
            <a:ln>
              <a:solidFill>
                <a:srgbClr val="002060"/>
              </a:solidFill>
              <a:prstDash val="dash"/>
            </a:ln>
          </c:spPr>
          <c:marker>
            <c:symbol val="none"/>
          </c:marker>
          <c:cat>
            <c:strRef>
              <c:f>'9.07 Graphique 1'!$C$5:$AB$5</c:f>
              <c:strCache>
                <c:ptCount val="26"/>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pt idx="25">
                  <c:v>2020-2021</c:v>
                </c:pt>
              </c:strCache>
            </c:strRef>
          </c:cat>
          <c:val>
            <c:numRef>
              <c:f>'9.07 Graphique 1'!$C$8:$X$8</c:f>
              <c:numCache>
                <c:formatCode>_-* #.##0\.0\ _€_-;\-* #.##0\.0\ _€_-;_-* "-"??\ _€_-;_-@_-</c:formatCode>
                <c:ptCount val="22"/>
                <c:pt idx="0">
                  <c:v>39.355094213773597</c:v>
                </c:pt>
                <c:pt idx="1">
                  <c:v>37.341845676736405</c:v>
                </c:pt>
                <c:pt idx="2">
                  <c:v>38.443918797532803</c:v>
                </c:pt>
                <c:pt idx="3">
                  <c:v>39.566114162172902</c:v>
                </c:pt>
                <c:pt idx="4">
                  <c:v>42.014335782032802</c:v>
                </c:pt>
                <c:pt idx="5">
                  <c:v>42.375204754764404</c:v>
                </c:pt>
                <c:pt idx="6">
                  <c:v>42.351388598058897</c:v>
                </c:pt>
                <c:pt idx="7">
                  <c:v>44.234137963003597</c:v>
                </c:pt>
                <c:pt idx="8">
                  <c:v>44.147485226590696</c:v>
                </c:pt>
                <c:pt idx="9">
                  <c:v>43.114640510670895</c:v>
                </c:pt>
                <c:pt idx="10">
                  <c:v>42.775819207931498</c:v>
                </c:pt>
                <c:pt idx="11">
                  <c:v>40.400000000000006</c:v>
                </c:pt>
                <c:pt idx="12">
                  <c:v>39.6</c:v>
                </c:pt>
                <c:pt idx="13">
                  <c:v>42</c:v>
                </c:pt>
                <c:pt idx="14">
                  <c:v>42.6</c:v>
                </c:pt>
                <c:pt idx="15">
                  <c:v>44.1</c:v>
                </c:pt>
                <c:pt idx="16">
                  <c:v>46.300000000000004</c:v>
                </c:pt>
                <c:pt idx="17">
                  <c:v>45.2</c:v>
                </c:pt>
                <c:pt idx="18">
                  <c:v>45.300000000000004</c:v>
                </c:pt>
                <c:pt idx="19">
                  <c:v>47.5</c:v>
                </c:pt>
                <c:pt idx="20">
                  <c:v>50.3</c:v>
                </c:pt>
              </c:numCache>
            </c:numRef>
          </c:val>
          <c:smooth val="0"/>
          <c:extLst>
            <c:ext xmlns:c16="http://schemas.microsoft.com/office/drawing/2014/chart" uri="{C3380CC4-5D6E-409C-BE32-E72D297353CC}">
              <c16:uniqueId val="{00000001-46AA-4817-94D1-4D57B058BE89}"/>
            </c:ext>
          </c:extLst>
        </c:ser>
        <c:ser>
          <c:idx val="2"/>
          <c:order val="2"/>
          <c:tx>
            <c:strRef>
              <c:f>'9.07 Graphique 1'!$A$10</c:f>
              <c:strCache>
                <c:ptCount val="1"/>
                <c:pt idx="0">
                  <c:v>CPGE</c:v>
                </c:pt>
              </c:strCache>
            </c:strRef>
          </c:tx>
          <c:spPr>
            <a:ln cmpd="sng">
              <a:solidFill>
                <a:schemeClr val="accent1">
                  <a:lumMod val="60000"/>
                  <a:lumOff val="40000"/>
                </a:schemeClr>
              </a:solidFill>
              <a:prstDash val="dash"/>
            </a:ln>
          </c:spPr>
          <c:marker>
            <c:symbol val="none"/>
          </c:marker>
          <c:cat>
            <c:strRef>
              <c:f>'9.07 Graphique 1'!$C$5:$AB$5</c:f>
              <c:strCache>
                <c:ptCount val="26"/>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pt idx="25">
                  <c:v>2020-2021</c:v>
                </c:pt>
              </c:strCache>
            </c:strRef>
          </c:cat>
          <c:val>
            <c:numRef>
              <c:f>'9.07 Graphique 1'!$C$10:$X$10</c:f>
              <c:numCache>
                <c:formatCode>_-* #.##0\.0\ _€_-;\-* #.##0\.0\ _€_-;_-* "-"??\ _€_-;_-@_-</c:formatCode>
                <c:ptCount val="22"/>
                <c:pt idx="0">
                  <c:v>13.5371664328281</c:v>
                </c:pt>
                <c:pt idx="1">
                  <c:v>15.530813608669899</c:v>
                </c:pt>
                <c:pt idx="2">
                  <c:v>14.644607843137299</c:v>
                </c:pt>
                <c:pt idx="3">
                  <c:v>13.8852423148452</c:v>
                </c:pt>
                <c:pt idx="4">
                  <c:v>14.887798711024999</c:v>
                </c:pt>
                <c:pt idx="5">
                  <c:v>17.099893480155501</c:v>
                </c:pt>
                <c:pt idx="6">
                  <c:v>19.289011732188499</c:v>
                </c:pt>
                <c:pt idx="7">
                  <c:v>18.9152561921513</c:v>
                </c:pt>
                <c:pt idx="8">
                  <c:v>18.668454363277302</c:v>
                </c:pt>
                <c:pt idx="9">
                  <c:v>18.805344214448599</c:v>
                </c:pt>
                <c:pt idx="10">
                  <c:v>18.950094161958599</c:v>
                </c:pt>
                <c:pt idx="11">
                  <c:v>17.599999999999998</c:v>
                </c:pt>
                <c:pt idx="12">
                  <c:v>18.600000000000001</c:v>
                </c:pt>
                <c:pt idx="13">
                  <c:v>21.9</c:v>
                </c:pt>
                <c:pt idx="14">
                  <c:v>25</c:v>
                </c:pt>
                <c:pt idx="15">
                  <c:v>25.7</c:v>
                </c:pt>
                <c:pt idx="16">
                  <c:v>26.900000000000002</c:v>
                </c:pt>
                <c:pt idx="17">
                  <c:v>27.700000000000003</c:v>
                </c:pt>
                <c:pt idx="18">
                  <c:v>27.900000000000002</c:v>
                </c:pt>
                <c:pt idx="19">
                  <c:v>27.700000000000003</c:v>
                </c:pt>
                <c:pt idx="20">
                  <c:v>28.4</c:v>
                </c:pt>
              </c:numCache>
            </c:numRef>
          </c:val>
          <c:smooth val="0"/>
          <c:extLst>
            <c:ext xmlns:c16="http://schemas.microsoft.com/office/drawing/2014/chart" uri="{C3380CC4-5D6E-409C-BE32-E72D297353CC}">
              <c16:uniqueId val="{00000002-46AA-4817-94D1-4D57B058BE89}"/>
            </c:ext>
          </c:extLst>
        </c:ser>
        <c:ser>
          <c:idx val="3"/>
          <c:order val="3"/>
          <c:tx>
            <c:strRef>
              <c:f>'9.07 Graphique 1'!$A$7</c:f>
              <c:strCache>
                <c:ptCount val="1"/>
                <c:pt idx="0">
                  <c:v>Universités</c:v>
                </c:pt>
              </c:strCache>
            </c:strRef>
          </c:tx>
          <c:spPr>
            <a:ln>
              <a:solidFill>
                <a:srgbClr val="0000FF"/>
              </a:solidFill>
              <a:prstDash val="solid"/>
            </a:ln>
          </c:spPr>
          <c:marker>
            <c:symbol val="none"/>
          </c:marker>
          <c:dLbls>
            <c:dLbl>
              <c:idx val="17"/>
              <c:delete val="1"/>
              <c:extLst>
                <c:ext xmlns:c15="http://schemas.microsoft.com/office/drawing/2012/chart" uri="{CE6537A1-D6FC-4f65-9D91-7224C49458BB}"/>
                <c:ext xmlns:c16="http://schemas.microsoft.com/office/drawing/2014/chart" uri="{C3380CC4-5D6E-409C-BE32-E72D297353CC}">
                  <c16:uniqueId val="{00000003-46AA-4817-94D1-4D57B058BE89}"/>
                </c:ext>
              </c:extLst>
            </c:dLbl>
            <c:dLbl>
              <c:idx val="18"/>
              <c:delete val="1"/>
              <c:extLst>
                <c:ext xmlns:c15="http://schemas.microsoft.com/office/drawing/2012/chart" uri="{CE6537A1-D6FC-4f65-9D91-7224C49458BB}"/>
                <c:ext xmlns:c16="http://schemas.microsoft.com/office/drawing/2014/chart" uri="{C3380CC4-5D6E-409C-BE32-E72D297353CC}">
                  <c16:uniqueId val="{00000004-46AA-4817-94D1-4D57B058BE89}"/>
                </c:ext>
              </c:extLst>
            </c:dLbl>
            <c:dLbl>
              <c:idx val="19"/>
              <c:delete val="1"/>
              <c:extLst>
                <c:ext xmlns:c15="http://schemas.microsoft.com/office/drawing/2012/chart" uri="{CE6537A1-D6FC-4f65-9D91-7224C49458BB}"/>
                <c:ext xmlns:c16="http://schemas.microsoft.com/office/drawing/2014/chart" uri="{C3380CC4-5D6E-409C-BE32-E72D297353CC}">
                  <c16:uniqueId val="{00000005-46AA-4817-94D1-4D57B058BE89}"/>
                </c:ext>
              </c:extLst>
            </c:dLbl>
            <c:dLbl>
              <c:idx val="20"/>
              <c:delete val="1"/>
              <c:extLst>
                <c:ext xmlns:c15="http://schemas.microsoft.com/office/drawing/2012/chart" uri="{CE6537A1-D6FC-4f65-9D91-7224C49458BB}"/>
                <c:ext xmlns:c16="http://schemas.microsoft.com/office/drawing/2014/chart" uri="{C3380CC4-5D6E-409C-BE32-E72D297353CC}">
                  <c16:uniqueId val="{00000006-46AA-4817-94D1-4D57B058BE89}"/>
                </c:ext>
              </c:extLst>
            </c:dLbl>
            <c:dLbl>
              <c:idx val="21"/>
              <c:delete val="1"/>
              <c:extLst>
                <c:ext xmlns:c15="http://schemas.microsoft.com/office/drawing/2012/chart" uri="{CE6537A1-D6FC-4f65-9D91-7224C49458BB}"/>
                <c:ext xmlns:c16="http://schemas.microsoft.com/office/drawing/2014/chart" uri="{C3380CC4-5D6E-409C-BE32-E72D297353CC}">
                  <c16:uniqueId val="{00000007-46AA-4817-94D1-4D57B058BE89}"/>
                </c:ext>
              </c:extLst>
            </c:dLbl>
            <c:dLbl>
              <c:idx val="22"/>
              <c:delete val="1"/>
              <c:extLst>
                <c:ext xmlns:c15="http://schemas.microsoft.com/office/drawing/2012/chart" uri="{CE6537A1-D6FC-4f65-9D91-7224C49458BB}"/>
                <c:ext xmlns:c16="http://schemas.microsoft.com/office/drawing/2014/chart" uri="{C3380CC4-5D6E-409C-BE32-E72D297353CC}">
                  <c16:uniqueId val="{00000008-46AA-4817-94D1-4D57B058BE89}"/>
                </c:ext>
              </c:extLst>
            </c:dLbl>
            <c:dLbl>
              <c:idx val="23"/>
              <c:delete val="1"/>
              <c:extLst>
                <c:ext xmlns:c15="http://schemas.microsoft.com/office/drawing/2012/chart" uri="{CE6537A1-D6FC-4f65-9D91-7224C49458BB}"/>
                <c:ext xmlns:c16="http://schemas.microsoft.com/office/drawing/2014/chart" uri="{C3380CC4-5D6E-409C-BE32-E72D297353CC}">
                  <c16:uniqueId val="{00000009-46AA-4817-94D1-4D57B058BE89}"/>
                </c:ext>
              </c:extLst>
            </c:dLbl>
            <c:dLbl>
              <c:idx val="24"/>
              <c:delete val="1"/>
              <c:extLst>
                <c:ext xmlns:c15="http://schemas.microsoft.com/office/drawing/2012/chart" uri="{CE6537A1-D6FC-4f65-9D91-7224C49458BB}"/>
                <c:ext xmlns:c16="http://schemas.microsoft.com/office/drawing/2014/chart" uri="{C3380CC4-5D6E-409C-BE32-E72D297353CC}">
                  <c16:uniqueId val="{0000000A-46AA-4817-94D1-4D57B058BE8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'9.07 Graphique 1'!$C$5:$AB$5</c:f>
              <c:strCache>
                <c:ptCount val="26"/>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pt idx="25">
                  <c:v>2020-2021</c:v>
                </c:pt>
              </c:strCache>
            </c:strRef>
          </c:cat>
          <c:val>
            <c:numRef>
              <c:f>'9.07 Graphique 1'!$C$7:$AB$7</c:f>
              <c:numCache>
                <c:formatCode>_-* #.##0\.0\ _€_-;\-* #.##0\.0\ _€_-;_-* "-"??\ _€_-;_-@_-</c:formatCode>
                <c:ptCount val="26"/>
                <c:pt idx="17">
                  <c:v>39.154832868753097</c:v>
                </c:pt>
                <c:pt idx="18">
                  <c:v>39.007544218116003</c:v>
                </c:pt>
                <c:pt idx="19">
                  <c:v>39.474971589828897</c:v>
                </c:pt>
                <c:pt idx="20">
                  <c:v>39.9010217219341</c:v>
                </c:pt>
                <c:pt idx="21">
                  <c:v>40.012435877506604</c:v>
                </c:pt>
                <c:pt idx="22">
                  <c:v>39.535457907155902</c:v>
                </c:pt>
                <c:pt idx="23">
                  <c:v>40.034306572827496</c:v>
                </c:pt>
                <c:pt idx="24">
                  <c:v>38.986622735466099</c:v>
                </c:pt>
                <c:pt idx="25">
                  <c:v>41.021434441602302</c:v>
                </c:pt>
              </c:numCache>
            </c:numRef>
          </c:val>
          <c:smooth val="0"/>
          <c:extLst>
            <c:ext xmlns:c16="http://schemas.microsoft.com/office/drawing/2014/chart" uri="{C3380CC4-5D6E-409C-BE32-E72D297353CC}">
              <c16:uniqueId val="{0000000B-46AA-4817-94D1-4D57B058BE89}"/>
            </c:ext>
          </c:extLst>
        </c:ser>
        <c:ser>
          <c:idx val="4"/>
          <c:order val="4"/>
          <c:tx>
            <c:strRef>
              <c:f>'9.07 Graphique 1'!$A$9</c:f>
              <c:strCache>
                <c:ptCount val="1"/>
                <c:pt idx="0">
                  <c:v>STS</c:v>
                </c:pt>
              </c:strCache>
            </c:strRef>
          </c:tx>
          <c:spPr>
            <a:ln cmpd="sng">
              <a:solidFill>
                <a:srgbClr val="002060"/>
              </a:solidFill>
              <a:prstDash val="solid"/>
            </a:ln>
          </c:spPr>
          <c:marker>
            <c:symbol val="none"/>
          </c:marker>
          <c:dLbls>
            <c:dLbl>
              <c:idx val="17"/>
              <c:delete val="1"/>
              <c:extLst>
                <c:ext xmlns:c15="http://schemas.microsoft.com/office/drawing/2012/chart" uri="{CE6537A1-D6FC-4f65-9D91-7224C49458BB}"/>
                <c:ext xmlns:c16="http://schemas.microsoft.com/office/drawing/2014/chart" uri="{C3380CC4-5D6E-409C-BE32-E72D297353CC}">
                  <c16:uniqueId val="{0000000C-46AA-4817-94D1-4D57B058BE89}"/>
                </c:ext>
              </c:extLst>
            </c:dLbl>
            <c:dLbl>
              <c:idx val="18"/>
              <c:delete val="1"/>
              <c:extLst>
                <c:ext xmlns:c15="http://schemas.microsoft.com/office/drawing/2012/chart" uri="{CE6537A1-D6FC-4f65-9D91-7224C49458BB}"/>
                <c:ext xmlns:c16="http://schemas.microsoft.com/office/drawing/2014/chart" uri="{C3380CC4-5D6E-409C-BE32-E72D297353CC}">
                  <c16:uniqueId val="{0000000D-46AA-4817-94D1-4D57B058BE89}"/>
                </c:ext>
              </c:extLst>
            </c:dLbl>
            <c:dLbl>
              <c:idx val="19"/>
              <c:delete val="1"/>
              <c:extLst>
                <c:ext xmlns:c15="http://schemas.microsoft.com/office/drawing/2012/chart" uri="{CE6537A1-D6FC-4f65-9D91-7224C49458BB}"/>
                <c:ext xmlns:c16="http://schemas.microsoft.com/office/drawing/2014/chart" uri="{C3380CC4-5D6E-409C-BE32-E72D297353CC}">
                  <c16:uniqueId val="{0000000E-46AA-4817-94D1-4D57B058BE89}"/>
                </c:ext>
              </c:extLst>
            </c:dLbl>
            <c:dLbl>
              <c:idx val="20"/>
              <c:delete val="1"/>
              <c:extLst>
                <c:ext xmlns:c15="http://schemas.microsoft.com/office/drawing/2012/chart" uri="{CE6537A1-D6FC-4f65-9D91-7224C49458BB}"/>
                <c:ext xmlns:c16="http://schemas.microsoft.com/office/drawing/2014/chart" uri="{C3380CC4-5D6E-409C-BE32-E72D297353CC}">
                  <c16:uniqueId val="{0000000F-46AA-4817-94D1-4D57B058BE89}"/>
                </c:ext>
              </c:extLst>
            </c:dLbl>
            <c:dLbl>
              <c:idx val="21"/>
              <c:delete val="1"/>
              <c:extLst>
                <c:ext xmlns:c15="http://schemas.microsoft.com/office/drawing/2012/chart" uri="{CE6537A1-D6FC-4f65-9D91-7224C49458BB}"/>
                <c:ext xmlns:c16="http://schemas.microsoft.com/office/drawing/2014/chart" uri="{C3380CC4-5D6E-409C-BE32-E72D297353CC}">
                  <c16:uniqueId val="{00000010-46AA-4817-94D1-4D57B058BE89}"/>
                </c:ext>
              </c:extLst>
            </c:dLbl>
            <c:dLbl>
              <c:idx val="22"/>
              <c:delete val="1"/>
              <c:extLst>
                <c:ext xmlns:c15="http://schemas.microsoft.com/office/drawing/2012/chart" uri="{CE6537A1-D6FC-4f65-9D91-7224C49458BB}"/>
                <c:ext xmlns:c16="http://schemas.microsoft.com/office/drawing/2014/chart" uri="{C3380CC4-5D6E-409C-BE32-E72D297353CC}">
                  <c16:uniqueId val="{00000011-46AA-4817-94D1-4D57B058BE89}"/>
                </c:ext>
              </c:extLst>
            </c:dLbl>
            <c:dLbl>
              <c:idx val="23"/>
              <c:delete val="1"/>
              <c:extLst>
                <c:ext xmlns:c15="http://schemas.microsoft.com/office/drawing/2012/chart" uri="{CE6537A1-D6FC-4f65-9D91-7224C49458BB}"/>
                <c:ext xmlns:c16="http://schemas.microsoft.com/office/drawing/2014/chart" uri="{C3380CC4-5D6E-409C-BE32-E72D297353CC}">
                  <c16:uniqueId val="{00000012-46AA-4817-94D1-4D57B058BE89}"/>
                </c:ext>
              </c:extLst>
            </c:dLbl>
            <c:dLbl>
              <c:idx val="24"/>
              <c:delete val="1"/>
              <c:extLst>
                <c:ext xmlns:c15="http://schemas.microsoft.com/office/drawing/2012/chart" uri="{CE6537A1-D6FC-4f65-9D91-7224C49458BB}"/>
                <c:ext xmlns:c16="http://schemas.microsoft.com/office/drawing/2014/chart" uri="{C3380CC4-5D6E-409C-BE32-E72D297353CC}">
                  <c16:uniqueId val="{00000013-46AA-4817-94D1-4D57B058BE8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'9.07 Graphique 1'!$C$5:$AB$5</c:f>
              <c:strCache>
                <c:ptCount val="26"/>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pt idx="25">
                  <c:v>2020-2021</c:v>
                </c:pt>
              </c:strCache>
            </c:strRef>
          </c:cat>
          <c:val>
            <c:numRef>
              <c:f>'9.07 Graphique 1'!$C$9:$AB$9</c:f>
              <c:numCache>
                <c:formatCode>_-* #.##0\.0\ _€_-;\-* #.##0\.0\ _€_-;_-* "-"??\ _€_-;_-@_-</c:formatCode>
                <c:ptCount val="26"/>
                <c:pt idx="17">
                  <c:v>48.229661858459302</c:v>
                </c:pt>
                <c:pt idx="18">
                  <c:v>48.395848748742999</c:v>
                </c:pt>
                <c:pt idx="19">
                  <c:v>50.974789836725698</c:v>
                </c:pt>
                <c:pt idx="20">
                  <c:v>53.822564107366098</c:v>
                </c:pt>
                <c:pt idx="21">
                  <c:v>54.265626818763799</c:v>
                </c:pt>
                <c:pt idx="22">
                  <c:v>54.9609940130346</c:v>
                </c:pt>
                <c:pt idx="23">
                  <c:v>54.6020830673258</c:v>
                </c:pt>
                <c:pt idx="24">
                  <c:v>54.049334709372999</c:v>
                </c:pt>
                <c:pt idx="25">
                  <c:v>54.931435323861599</c:v>
                </c:pt>
              </c:numCache>
            </c:numRef>
          </c:val>
          <c:smooth val="0"/>
          <c:extLst>
            <c:ext xmlns:c16="http://schemas.microsoft.com/office/drawing/2014/chart" uri="{C3380CC4-5D6E-409C-BE32-E72D297353CC}">
              <c16:uniqueId val="{00000014-46AA-4817-94D1-4D57B058BE89}"/>
            </c:ext>
          </c:extLst>
        </c:ser>
        <c:ser>
          <c:idx val="5"/>
          <c:order val="5"/>
          <c:tx>
            <c:strRef>
              <c:f>'9.07 Graphique 1'!$A$11</c:f>
              <c:strCache>
                <c:ptCount val="1"/>
                <c:pt idx="0">
                  <c:v>CPGE</c:v>
                </c:pt>
              </c:strCache>
            </c:strRef>
          </c:tx>
          <c:spPr>
            <a:ln cmpd="sng">
              <a:solidFill>
                <a:schemeClr val="accent1">
                  <a:lumMod val="60000"/>
                  <a:lumOff val="40000"/>
                </a:schemeClr>
              </a:solidFill>
              <a:prstDash val="solid"/>
            </a:ln>
          </c:spPr>
          <c:marker>
            <c:symbol val="none"/>
          </c:marker>
          <c:dLbls>
            <c:dLbl>
              <c:idx val="17"/>
              <c:delete val="1"/>
              <c:extLst>
                <c:ext xmlns:c15="http://schemas.microsoft.com/office/drawing/2012/chart" uri="{CE6537A1-D6FC-4f65-9D91-7224C49458BB}"/>
                <c:ext xmlns:c16="http://schemas.microsoft.com/office/drawing/2014/chart" uri="{C3380CC4-5D6E-409C-BE32-E72D297353CC}">
                  <c16:uniqueId val="{00000015-46AA-4817-94D1-4D57B058BE89}"/>
                </c:ext>
              </c:extLst>
            </c:dLbl>
            <c:dLbl>
              <c:idx val="18"/>
              <c:delete val="1"/>
              <c:extLst>
                <c:ext xmlns:c15="http://schemas.microsoft.com/office/drawing/2012/chart" uri="{CE6537A1-D6FC-4f65-9D91-7224C49458BB}"/>
                <c:ext xmlns:c16="http://schemas.microsoft.com/office/drawing/2014/chart" uri="{C3380CC4-5D6E-409C-BE32-E72D297353CC}">
                  <c16:uniqueId val="{00000016-46AA-4817-94D1-4D57B058BE89}"/>
                </c:ext>
              </c:extLst>
            </c:dLbl>
            <c:dLbl>
              <c:idx val="19"/>
              <c:delete val="1"/>
              <c:extLst>
                <c:ext xmlns:c15="http://schemas.microsoft.com/office/drawing/2012/chart" uri="{CE6537A1-D6FC-4f65-9D91-7224C49458BB}"/>
                <c:ext xmlns:c16="http://schemas.microsoft.com/office/drawing/2014/chart" uri="{C3380CC4-5D6E-409C-BE32-E72D297353CC}">
                  <c16:uniqueId val="{00000017-46AA-4817-94D1-4D57B058BE89}"/>
                </c:ext>
              </c:extLst>
            </c:dLbl>
            <c:dLbl>
              <c:idx val="20"/>
              <c:delete val="1"/>
              <c:extLst>
                <c:ext xmlns:c15="http://schemas.microsoft.com/office/drawing/2012/chart" uri="{CE6537A1-D6FC-4f65-9D91-7224C49458BB}"/>
                <c:ext xmlns:c16="http://schemas.microsoft.com/office/drawing/2014/chart" uri="{C3380CC4-5D6E-409C-BE32-E72D297353CC}">
                  <c16:uniqueId val="{00000018-46AA-4817-94D1-4D57B058BE89}"/>
                </c:ext>
              </c:extLst>
            </c:dLbl>
            <c:dLbl>
              <c:idx val="21"/>
              <c:delete val="1"/>
              <c:extLst>
                <c:ext xmlns:c15="http://schemas.microsoft.com/office/drawing/2012/chart" uri="{CE6537A1-D6FC-4f65-9D91-7224C49458BB}"/>
                <c:ext xmlns:c16="http://schemas.microsoft.com/office/drawing/2014/chart" uri="{C3380CC4-5D6E-409C-BE32-E72D297353CC}">
                  <c16:uniqueId val="{00000019-46AA-4817-94D1-4D57B058BE89}"/>
                </c:ext>
              </c:extLst>
            </c:dLbl>
            <c:dLbl>
              <c:idx val="22"/>
              <c:delete val="1"/>
              <c:extLst>
                <c:ext xmlns:c15="http://schemas.microsoft.com/office/drawing/2012/chart" uri="{CE6537A1-D6FC-4f65-9D91-7224C49458BB}"/>
                <c:ext xmlns:c16="http://schemas.microsoft.com/office/drawing/2014/chart" uri="{C3380CC4-5D6E-409C-BE32-E72D297353CC}">
                  <c16:uniqueId val="{0000001A-46AA-4817-94D1-4D57B058BE89}"/>
                </c:ext>
              </c:extLst>
            </c:dLbl>
            <c:dLbl>
              <c:idx val="23"/>
              <c:delete val="1"/>
              <c:extLst>
                <c:ext xmlns:c15="http://schemas.microsoft.com/office/drawing/2012/chart" uri="{CE6537A1-D6FC-4f65-9D91-7224C49458BB}"/>
                <c:ext xmlns:c16="http://schemas.microsoft.com/office/drawing/2014/chart" uri="{C3380CC4-5D6E-409C-BE32-E72D297353CC}">
                  <c16:uniqueId val="{0000001B-46AA-4817-94D1-4D57B058BE89}"/>
                </c:ext>
              </c:extLst>
            </c:dLbl>
            <c:dLbl>
              <c:idx val="24"/>
              <c:delete val="1"/>
              <c:extLst>
                <c:ext xmlns:c15="http://schemas.microsoft.com/office/drawing/2012/chart" uri="{CE6537A1-D6FC-4f65-9D91-7224C49458BB}"/>
                <c:ext xmlns:c16="http://schemas.microsoft.com/office/drawing/2014/chart" uri="{C3380CC4-5D6E-409C-BE32-E72D297353CC}">
                  <c16:uniqueId val="{0000001C-46AA-4817-94D1-4D57B058BE8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'9.07 Graphique 1'!$C$5:$AB$5</c:f>
              <c:strCache>
                <c:ptCount val="26"/>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pt idx="24">
                  <c:v>2019-2020</c:v>
                </c:pt>
                <c:pt idx="25">
                  <c:v>2020-2021</c:v>
                </c:pt>
              </c:strCache>
            </c:strRef>
          </c:cat>
          <c:val>
            <c:numRef>
              <c:f>'9.07 Graphique 1'!$C$11:$AB$11</c:f>
              <c:numCache>
                <c:formatCode>_-* #.##0\.0\ _€_-;\-* #.##0\.0\ _€_-;_-* "-"??\ _€_-;_-@_-</c:formatCode>
                <c:ptCount val="26"/>
                <c:pt idx="17">
                  <c:v>27.5136880882093</c:v>
                </c:pt>
                <c:pt idx="18">
                  <c:v>27.622072745391101</c:v>
                </c:pt>
                <c:pt idx="19">
                  <c:v>27.558452460311599</c:v>
                </c:pt>
                <c:pt idx="20">
                  <c:v>28.415393184955601</c:v>
                </c:pt>
                <c:pt idx="21">
                  <c:v>28.7586256642062</c:v>
                </c:pt>
                <c:pt idx="22">
                  <c:v>28.869805428777301</c:v>
                </c:pt>
                <c:pt idx="23">
                  <c:v>28.829622832858497</c:v>
                </c:pt>
                <c:pt idx="24">
                  <c:v>28.307677318784101</c:v>
                </c:pt>
                <c:pt idx="25">
                  <c:v>27.321772170397303</c:v>
                </c:pt>
              </c:numCache>
            </c:numRef>
          </c:val>
          <c:smooth val="0"/>
          <c:extLst>
            <c:ext xmlns:c16="http://schemas.microsoft.com/office/drawing/2014/chart" uri="{C3380CC4-5D6E-409C-BE32-E72D297353CC}">
              <c16:uniqueId val="{0000001D-46AA-4817-94D1-4D57B058BE89}"/>
            </c:ext>
          </c:extLst>
        </c:ser>
        <c:dLbls>
          <c:showLegendKey val="0"/>
          <c:showVal val="0"/>
          <c:showCatName val="0"/>
          <c:showSerName val="0"/>
          <c:showPercent val="0"/>
          <c:showBubbleSize val="0"/>
        </c:dLbls>
        <c:smooth val="0"/>
        <c:axId val="454956128"/>
        <c:axId val="1"/>
      </c:lineChart>
      <c:catAx>
        <c:axId val="454956128"/>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495612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15</xdr:row>
      <xdr:rowOff>66675</xdr:rowOff>
    </xdr:from>
    <xdr:to>
      <xdr:col>15</xdr:col>
      <xdr:colOff>219075</xdr:colOff>
      <xdr:row>48</xdr:row>
      <xdr:rowOff>152400</xdr:rowOff>
    </xdr:to>
    <xdr:graphicFrame macro="">
      <xdr:nvGraphicFramePr>
        <xdr:cNvPr id="663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200025</xdr:colOff>
      <xdr:row>47</xdr:row>
      <xdr:rowOff>76200</xdr:rowOff>
    </xdr:from>
    <xdr:ext cx="1459117" cy="264560"/>
    <xdr:sp macro="" textlink="">
      <xdr:nvSpPr>
        <xdr:cNvPr id="2" name="ZoneTexte 1"/>
        <xdr:cNvSpPr txBox="1"/>
      </xdr:nvSpPr>
      <xdr:spPr>
        <a:xfrm>
          <a:off x="9096375" y="7953375"/>
          <a:ext cx="14591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smtClean="0">
              <a:solidFill>
                <a:schemeClr val="tx1"/>
              </a:solidFill>
              <a:latin typeface="+mn-lt"/>
              <a:ea typeface="+mn-ea"/>
              <a:cs typeface="+mn-cs"/>
            </a:rPr>
            <a:t>RERS 2022, DEPP, SIES</a:t>
          </a:r>
          <a:endParaRPr lang="fr-FR" sz="800">
            <a:latin typeface="Arial" panose="020B0604020202020204" pitchFamily="34" charset="0"/>
            <a:cs typeface="Arial" panose="020B0604020202020204" pitchFamily="34" charset="0"/>
          </a:endParaRPr>
        </a:p>
      </xdr:txBody>
    </xdr:sp>
    <xdr:clientData/>
  </xdr:oneCellAnchor>
  <xdr:twoCellAnchor>
    <xdr:from>
      <xdr:col>3</xdr:col>
      <xdr:colOff>371475</xdr:colOff>
      <xdr:row>24</xdr:row>
      <xdr:rowOff>104775</xdr:rowOff>
    </xdr:from>
    <xdr:to>
      <xdr:col>4</xdr:col>
      <xdr:colOff>438150</xdr:colOff>
      <xdr:row>26</xdr:row>
      <xdr:rowOff>28575</xdr:rowOff>
    </xdr:to>
    <xdr:sp macro="" textlink="">
      <xdr:nvSpPr>
        <xdr:cNvPr id="3" name="ZoneTexte 2"/>
        <xdr:cNvSpPr txBox="1"/>
      </xdr:nvSpPr>
      <xdr:spPr>
        <a:xfrm>
          <a:off x="4895850" y="4095750"/>
          <a:ext cx="5524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0">
              <a:latin typeface="Arial" panose="020B0604020202020204" pitchFamily="34" charset="0"/>
              <a:cs typeface="Arial" panose="020B0604020202020204" pitchFamily="34" charset="0"/>
            </a:rPr>
            <a:t>STS</a:t>
          </a:r>
        </a:p>
      </xdr:txBody>
    </xdr:sp>
    <xdr:clientData/>
  </xdr:twoCellAnchor>
  <xdr:twoCellAnchor>
    <xdr:from>
      <xdr:col>2</xdr:col>
      <xdr:colOff>266699</xdr:colOff>
      <xdr:row>27</xdr:row>
      <xdr:rowOff>133350</xdr:rowOff>
    </xdr:from>
    <xdr:to>
      <xdr:col>5</xdr:col>
      <xdr:colOff>390525</xdr:colOff>
      <xdr:row>28</xdr:row>
      <xdr:rowOff>152400</xdr:rowOff>
    </xdr:to>
    <xdr:sp macro="" textlink="">
      <xdr:nvSpPr>
        <xdr:cNvPr id="4" name="ZoneTexte 3"/>
        <xdr:cNvSpPr txBox="1"/>
      </xdr:nvSpPr>
      <xdr:spPr>
        <a:xfrm>
          <a:off x="4305299" y="4762500"/>
          <a:ext cx="1581151"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Universités</a:t>
          </a:r>
          <a:r>
            <a:rPr lang="fr-FR" sz="800" baseline="0">
              <a:latin typeface="Arial" panose="020B0604020202020204" pitchFamily="34" charset="0"/>
              <a:cs typeface="Arial" panose="020B0604020202020204" pitchFamily="34" charset="0"/>
            </a:rPr>
            <a:t> et assimilés (1)(2)</a:t>
          </a:r>
        </a:p>
        <a:p>
          <a:endParaRPr lang="fr-FR" sz="1100"/>
        </a:p>
      </xdr:txBody>
    </xdr:sp>
    <xdr:clientData/>
  </xdr:twoCellAnchor>
  <xdr:twoCellAnchor>
    <xdr:from>
      <xdr:col>0</xdr:col>
      <xdr:colOff>981075</xdr:colOff>
      <xdr:row>18</xdr:row>
      <xdr:rowOff>123825</xdr:rowOff>
    </xdr:from>
    <xdr:to>
      <xdr:col>0</xdr:col>
      <xdr:colOff>1266825</xdr:colOff>
      <xdr:row>19</xdr:row>
      <xdr:rowOff>123825</xdr:rowOff>
    </xdr:to>
    <xdr:sp macro="" textlink="">
      <xdr:nvSpPr>
        <xdr:cNvPr id="6" name="ZoneTexte 5"/>
        <xdr:cNvSpPr txBox="1"/>
      </xdr:nvSpPr>
      <xdr:spPr>
        <a:xfrm>
          <a:off x="981075" y="3457575"/>
          <a:ext cx="2857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0">
              <a:latin typeface="Arial" panose="020B0604020202020204" pitchFamily="34" charset="0"/>
              <a:cs typeface="Arial" panose="020B0604020202020204" pitchFamily="34" charset="0"/>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0.33709</cdr:x>
      <cdr:y>0.07341</cdr:y>
    </cdr:from>
    <cdr:to>
      <cdr:x>0.70926</cdr:x>
      <cdr:y>0.17006</cdr:y>
    </cdr:to>
    <cdr:grpSp>
      <cdr:nvGrpSpPr>
        <cdr:cNvPr id="9" name="Groupe 8"/>
        <cdr:cNvGrpSpPr/>
      </cdr:nvGrpSpPr>
      <cdr:grpSpPr>
        <a:xfrm xmlns:a="http://schemas.openxmlformats.org/drawingml/2006/main">
          <a:off x="3467645" y="398561"/>
          <a:ext cx="3828513" cy="524737"/>
          <a:chOff x="4996270" y="4267852"/>
          <a:chExt cx="2974187" cy="513698"/>
        </a:xfrm>
      </cdr:grpSpPr>
      <cdr:sp macro="" textlink="">
        <cdr:nvSpPr>
          <cdr:cNvPr id="2" name="ZoneTexte 1"/>
          <cdr:cNvSpPr txBox="1"/>
        </cdr:nvSpPr>
        <cdr:spPr>
          <a:xfrm xmlns:a="http://schemas.openxmlformats.org/drawingml/2006/main">
            <a:off x="4996270" y="4267852"/>
            <a:ext cx="767661" cy="51369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fr-FR" sz="2400" b="1"/>
              <a:t>  - - -  </a:t>
            </a:r>
          </a:p>
          <a:p xmlns:a="http://schemas.openxmlformats.org/drawingml/2006/main">
            <a:endParaRPr lang="fr-FR" sz="1100"/>
          </a:p>
        </cdr:txBody>
      </cdr:sp>
      <cdr:sp macro="" textlink="">
        <cdr:nvSpPr>
          <cdr:cNvPr id="3" name="ZoneTexte 1"/>
          <cdr:cNvSpPr txBox="1"/>
        </cdr:nvSpPr>
        <cdr:spPr>
          <a:xfrm xmlns:a="http://schemas.openxmlformats.org/drawingml/2006/main">
            <a:off x="5536000" y="4404665"/>
            <a:ext cx="2434457" cy="25872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Données ancienne méthode</a:t>
            </a:r>
          </a:p>
        </cdr:txBody>
      </cdr:sp>
    </cdr:grpSp>
  </cdr:relSizeAnchor>
  <cdr:relSizeAnchor xmlns:cdr="http://schemas.openxmlformats.org/drawingml/2006/chartDrawing">
    <cdr:from>
      <cdr:x>0.02</cdr:x>
      <cdr:y>0.80466</cdr:y>
    </cdr:from>
    <cdr:to>
      <cdr:x>0.97591</cdr:x>
      <cdr:y>0.98947</cdr:y>
    </cdr:to>
    <cdr:sp macro="" textlink="">
      <cdr:nvSpPr>
        <cdr:cNvPr id="4" name="ZoneTexte 3"/>
        <cdr:cNvSpPr txBox="1"/>
      </cdr:nvSpPr>
      <cdr:spPr>
        <a:xfrm xmlns:a="http://schemas.openxmlformats.org/drawingml/2006/main">
          <a:off x="159854" y="4368697"/>
          <a:ext cx="7639095" cy="10034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b="1">
              <a:latin typeface="Arial" panose="020B0604020202020204" pitchFamily="34" charset="0"/>
              <a:cs typeface="Arial" panose="020B0604020202020204" pitchFamily="34" charset="0"/>
            </a:rPr>
            <a:t>1.</a:t>
          </a:r>
          <a:r>
            <a:rPr lang="fr-FR" sz="800">
              <a:latin typeface="Arial" panose="020B0604020202020204" pitchFamily="34" charset="0"/>
              <a:cs typeface="Arial" panose="020B0604020202020204" pitchFamily="34" charset="0"/>
            </a:rPr>
            <a:t>  Avant révision, cela comprend les universités, universités de technologie, écoles normales supérieures, instituts nationaux polytechniques, </a:t>
          </a:r>
        </a:p>
        <a:p xmlns:a="http://schemas.openxmlformats.org/drawingml/2006/main">
          <a:r>
            <a:rPr lang="fr-FR" sz="800">
              <a:latin typeface="Arial" panose="020B0604020202020204" pitchFamily="34" charset="0"/>
              <a:cs typeface="Arial" panose="020B0604020202020204" pitchFamily="34" charset="0"/>
            </a:rPr>
            <a:t>instituts d'études politiques, établissements privés d'enseignement universitaire. Après révision, uniquement les universités.</a:t>
          </a:r>
        </a:p>
        <a:p xmlns:a="http://schemas.openxmlformats.org/drawingml/2006/main">
          <a:r>
            <a:rPr lang="fr-FR" sz="800" b="1">
              <a:latin typeface="Arial" panose="020B0604020202020204" pitchFamily="34" charset="0"/>
              <a:cs typeface="Arial" panose="020B0604020202020204" pitchFamily="34" charset="0"/>
            </a:rPr>
            <a:t>2.</a:t>
          </a:r>
          <a:r>
            <a:rPr lang="fr-FR" sz="800" b="0" baseline="0">
              <a:latin typeface="Arial" panose="020B0604020202020204" pitchFamily="34" charset="0"/>
              <a:cs typeface="Arial" panose="020B0604020202020204" pitchFamily="34" charset="0"/>
            </a:rPr>
            <a:t> </a:t>
          </a:r>
          <a:r>
            <a:rPr lang="fr-FR" sz="800">
              <a:latin typeface="Arial" panose="020B0604020202020204" pitchFamily="34" charset="0"/>
              <a:cs typeface="Arial" panose="020B0604020202020204" pitchFamily="34" charset="0"/>
            </a:rPr>
            <a:t> En 2009, les étudiants inscrits dans les IUFM intégrés dans une université de rattachement ne sont pas comptabilisés. </a:t>
          </a:r>
        </a:p>
        <a:p xmlns:a="http://schemas.openxmlformats.org/drawingml/2006/main">
          <a:r>
            <a:rPr lang="fr-FR" sz="800">
              <a:latin typeface="Arial" panose="020B0604020202020204" pitchFamily="34" charset="0"/>
              <a:cs typeface="Arial" panose="020B0604020202020204" pitchFamily="34" charset="0"/>
            </a:rPr>
            <a:t>On dénombre 13 422 boursiers dans les IUFM rattachés aux universités en 2009-2010.</a:t>
          </a:r>
        </a:p>
        <a:p xmlns:a="http://schemas.openxmlformats.org/drawingml/2006/main">
          <a:endParaRPr lang="fr-FR" sz="800">
            <a:latin typeface="Arial" panose="020B0604020202020204" pitchFamily="34" charset="0"/>
            <a:cs typeface="Arial" panose="020B0604020202020204" pitchFamily="34" charset="0"/>
          </a:endParaRPr>
        </a:p>
        <a:p xmlns:a="http://schemas.openxmlformats.org/drawingml/2006/main">
          <a:r>
            <a:rPr lang="fr-FR" sz="800">
              <a:latin typeface="Arial" panose="020B0604020202020204" pitchFamily="34" charset="0"/>
              <a:cs typeface="Arial" panose="020B0604020202020204" pitchFamily="34" charset="0"/>
            </a:rPr>
            <a:t>Source : SIES-MESR, systèmes d'information AGLAE (extractions annuelles au 15 mars n+1), SISE, SCOLARITE.</a:t>
          </a:r>
        </a:p>
        <a:p xmlns:a="http://schemas.openxmlformats.org/drawingml/2006/main">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0.44352</cdr:x>
      <cdr:y>0.52456</cdr:y>
    </cdr:from>
    <cdr:to>
      <cdr:x>0.50185</cdr:x>
      <cdr:y>0.57018</cdr:y>
    </cdr:to>
    <cdr:sp macro="" textlink="">
      <cdr:nvSpPr>
        <cdr:cNvPr id="5" name="ZoneTexte 4"/>
        <cdr:cNvSpPr txBox="1"/>
      </cdr:nvSpPr>
      <cdr:spPr>
        <a:xfrm xmlns:a="http://schemas.openxmlformats.org/drawingml/2006/main">
          <a:off x="4562475" y="2847975"/>
          <a:ext cx="600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0.43056</cdr:x>
      <cdr:y>0.5193</cdr:y>
    </cdr:from>
    <cdr:to>
      <cdr:x>0.51389</cdr:x>
      <cdr:y>0.57018</cdr:y>
    </cdr:to>
    <cdr:sp macro="" textlink="">
      <cdr:nvSpPr>
        <cdr:cNvPr id="6" name="ZoneTexte 5"/>
        <cdr:cNvSpPr txBox="1"/>
      </cdr:nvSpPr>
      <cdr:spPr>
        <a:xfrm xmlns:a="http://schemas.openxmlformats.org/drawingml/2006/main">
          <a:off x="4429125" y="2819400"/>
          <a:ext cx="8572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CPGE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cols>
    <col min="1" max="1" width="90.7109375" style="108" customWidth="1"/>
    <col min="2" max="16384" width="11.42578125" style="108"/>
  </cols>
  <sheetData>
    <row r="1" spans="1:1">
      <c r="A1" s="107" t="s">
        <v>89</v>
      </c>
    </row>
    <row r="2" spans="1:1">
      <c r="A2" s="109" t="s">
        <v>110</v>
      </c>
    </row>
    <row r="3" spans="1:1">
      <c r="A3" s="109"/>
    </row>
    <row r="4" spans="1:1" ht="27.75">
      <c r="A4" s="110" t="s">
        <v>90</v>
      </c>
    </row>
    <row r="7" spans="1:1" ht="102" customHeight="1">
      <c r="A7" s="110" t="s">
        <v>91</v>
      </c>
    </row>
    <row r="9" spans="1:1">
      <c r="A9" s="111" t="s">
        <v>92</v>
      </c>
    </row>
    <row r="11" spans="1:1" ht="15.75">
      <c r="A11" s="112" t="s">
        <v>93</v>
      </c>
    </row>
    <row r="12" spans="1:1">
      <c r="A12" s="107"/>
    </row>
    <row r="13" spans="1:1">
      <c r="A13" s="107"/>
    </row>
    <row r="14" spans="1:1">
      <c r="A14" s="107"/>
    </row>
    <row r="15" spans="1:1" s="113" customFormat="1" ht="34.9" customHeight="1"/>
    <row r="16" spans="1:1" ht="35.1" customHeight="1">
      <c r="A16" s="114" t="s">
        <v>94</v>
      </c>
    </row>
    <row r="17" spans="1:1">
      <c r="A17" s="115" t="s">
        <v>109</v>
      </c>
    </row>
    <row r="18" spans="1:1">
      <c r="A18" s="115" t="s">
        <v>60</v>
      </c>
    </row>
    <row r="19" spans="1:1">
      <c r="A19" s="115" t="s">
        <v>58</v>
      </c>
    </row>
    <row r="20" spans="1:1">
      <c r="A20" s="115" t="s">
        <v>73</v>
      </c>
    </row>
    <row r="21" spans="1:1">
      <c r="A21" s="115"/>
    </row>
    <row r="22" spans="1:1">
      <c r="A22" s="115"/>
    </row>
    <row r="23" spans="1:1">
      <c r="A23" s="115"/>
    </row>
    <row r="24" spans="1:1">
      <c r="A24" s="115"/>
    </row>
    <row r="25" spans="1:1" ht="35.1" customHeight="1">
      <c r="A25" s="116" t="s">
        <v>95</v>
      </c>
    </row>
    <row r="26" spans="1:1" ht="22.5">
      <c r="A26" s="117" t="s">
        <v>96</v>
      </c>
    </row>
    <row r="27" spans="1:1">
      <c r="A27" s="118" t="s">
        <v>97</v>
      </c>
    </row>
    <row r="28" spans="1:1" ht="35.1" customHeight="1">
      <c r="A28" s="119" t="s">
        <v>98</v>
      </c>
    </row>
    <row r="29" spans="1:1">
      <c r="A29" s="120" t="s">
        <v>99</v>
      </c>
    </row>
    <row r="30" spans="1:1" ht="35.1" customHeight="1">
      <c r="A30" s="121" t="s">
        <v>100</v>
      </c>
    </row>
    <row r="31" spans="1:1" ht="22.5">
      <c r="A31" s="122" t="s">
        <v>101</v>
      </c>
    </row>
    <row r="32" spans="1:1">
      <c r="A32" s="122" t="s">
        <v>102</v>
      </c>
    </row>
    <row r="33" spans="1:1">
      <c r="A33" s="113"/>
    </row>
    <row r="34" spans="1:1" ht="22.5">
      <c r="A34" s="123" t="s">
        <v>103</v>
      </c>
    </row>
    <row r="35" spans="1:1">
      <c r="A35" s="124"/>
    </row>
    <row r="36" spans="1:1">
      <c r="A36" s="116" t="s">
        <v>104</v>
      </c>
    </row>
    <row r="37" spans="1:1">
      <c r="A37" s="124"/>
    </row>
    <row r="38" spans="1:1">
      <c r="A38" s="124" t="s">
        <v>105</v>
      </c>
    </row>
    <row r="39" spans="1:1">
      <c r="A39" s="124" t="s">
        <v>106</v>
      </c>
    </row>
    <row r="40" spans="1:1">
      <c r="A40" s="124" t="s">
        <v>107</v>
      </c>
    </row>
    <row r="41" spans="1:1">
      <c r="A41" s="124" t="s">
        <v>108</v>
      </c>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B21"/>
  <sheetViews>
    <sheetView topLeftCell="A37" workbookViewId="0">
      <selection activeCell="A2" sqref="A2"/>
    </sheetView>
  </sheetViews>
  <sheetFormatPr baseColWidth="10" defaultRowHeight="12.75"/>
  <cols>
    <col min="1" max="1" width="44.42578125" style="23" customWidth="1"/>
    <col min="2" max="2" width="16.140625" style="23" customWidth="1"/>
    <col min="3" max="28" width="7.28515625" style="23" customWidth="1"/>
    <col min="29" max="16384" width="11.42578125" style="23"/>
  </cols>
  <sheetData>
    <row r="1" spans="1:28" ht="15">
      <c r="A1" s="74" t="s">
        <v>81</v>
      </c>
      <c r="B1" s="76"/>
    </row>
    <row r="2" spans="1:28" ht="15.75">
      <c r="A2" s="73"/>
    </row>
    <row r="3" spans="1:28">
      <c r="A3" s="36" t="s">
        <v>84</v>
      </c>
    </row>
    <row r="4" spans="1:28">
      <c r="A4" s="36"/>
    </row>
    <row r="5" spans="1:28" ht="23.25">
      <c r="A5" s="68"/>
      <c r="B5" s="69"/>
      <c r="C5" s="72" t="s">
        <v>41</v>
      </c>
      <c r="D5" s="72" t="s">
        <v>42</v>
      </c>
      <c r="E5" s="72" t="s">
        <v>43</v>
      </c>
      <c r="F5" s="72" t="s">
        <v>44</v>
      </c>
      <c r="G5" s="72" t="s">
        <v>45</v>
      </c>
      <c r="H5" s="72" t="s">
        <v>46</v>
      </c>
      <c r="I5" s="72" t="s">
        <v>0</v>
      </c>
      <c r="J5" s="72" t="s">
        <v>47</v>
      </c>
      <c r="K5" s="72" t="s">
        <v>48</v>
      </c>
      <c r="L5" s="72" t="s">
        <v>49</v>
      </c>
      <c r="M5" s="72" t="s">
        <v>1</v>
      </c>
      <c r="N5" s="72" t="s">
        <v>50</v>
      </c>
      <c r="O5" s="72" t="s">
        <v>51</v>
      </c>
      <c r="P5" s="72" t="s">
        <v>52</v>
      </c>
      <c r="Q5" s="72" t="s">
        <v>53</v>
      </c>
      <c r="R5" s="72" t="s">
        <v>2</v>
      </c>
      <c r="S5" s="72" t="s">
        <v>3</v>
      </c>
      <c r="T5" s="72" t="s">
        <v>12</v>
      </c>
      <c r="U5" s="72" t="s">
        <v>13</v>
      </c>
      <c r="V5" s="72" t="s">
        <v>14</v>
      </c>
      <c r="W5" s="72" t="s">
        <v>24</v>
      </c>
      <c r="X5" s="72" t="s">
        <v>29</v>
      </c>
      <c r="Y5" s="72" t="s">
        <v>59</v>
      </c>
      <c r="Z5" s="72" t="s">
        <v>66</v>
      </c>
      <c r="AA5" s="72" t="s">
        <v>70</v>
      </c>
      <c r="AB5" s="72" t="s">
        <v>74</v>
      </c>
    </row>
    <row r="6" spans="1:28" ht="15" customHeight="1">
      <c r="A6" s="12" t="s">
        <v>80</v>
      </c>
      <c r="B6" s="70" t="s">
        <v>54</v>
      </c>
      <c r="C6" s="91">
        <f>0.212137709004208*100</f>
        <v>21.213770900420801</v>
      </c>
      <c r="D6" s="91">
        <f>0.204090312079976*100</f>
        <v>20.4090312079976</v>
      </c>
      <c r="E6" s="91">
        <f>0.212839121024821*100</f>
        <v>21.283912102482098</v>
      </c>
      <c r="F6" s="91">
        <f>0.224632102485143*100</f>
        <v>22.463210248514301</v>
      </c>
      <c r="G6" s="91">
        <f>0.254678230572694*100</f>
        <v>25.467823057269399</v>
      </c>
      <c r="H6" s="91">
        <f>0.266160212110601*100</f>
        <v>26.616021211060097</v>
      </c>
      <c r="I6" s="91">
        <f>0.273879361181346*100</f>
        <v>27.387936118134597</v>
      </c>
      <c r="J6" s="91">
        <f>0.275711449899948*100</f>
        <v>27.571144989994799</v>
      </c>
      <c r="K6" s="91">
        <f>0.277837222645338*100</f>
        <v>27.7837222645338</v>
      </c>
      <c r="L6" s="91">
        <f>0.282064289493637*100</f>
        <v>28.206428949363698</v>
      </c>
      <c r="M6" s="91">
        <f>0.287967074775623*100</f>
        <v>28.7967074775623</v>
      </c>
      <c r="N6" s="91">
        <f>0.284*100</f>
        <v>28.4</v>
      </c>
      <c r="O6" s="91">
        <f>0.284*100</f>
        <v>28.4</v>
      </c>
      <c r="P6" s="91">
        <f>0.31*100</f>
        <v>31</v>
      </c>
      <c r="Q6" s="91">
        <f>0.325*100</f>
        <v>32.5</v>
      </c>
      <c r="R6" s="91">
        <f>0.338*100</f>
        <v>33.800000000000004</v>
      </c>
      <c r="S6" s="91">
        <f>0.35*100</f>
        <v>35</v>
      </c>
      <c r="T6" s="91">
        <f>0.351*100</f>
        <v>35.099999999999994</v>
      </c>
      <c r="U6" s="91">
        <f>0.348*100</f>
        <v>34.799999999999997</v>
      </c>
      <c r="V6" s="91">
        <f>0.347*100</f>
        <v>34.699999999999996</v>
      </c>
      <c r="W6" s="91">
        <f>0.345*100</f>
        <v>34.5</v>
      </c>
      <c r="X6" s="91"/>
      <c r="Y6" s="91"/>
      <c r="Z6" s="92"/>
      <c r="AA6" s="92"/>
      <c r="AB6" s="92"/>
    </row>
    <row r="7" spans="1:28">
      <c r="A7" s="12" t="s">
        <v>55</v>
      </c>
      <c r="B7" s="70" t="s">
        <v>56</v>
      </c>
      <c r="C7" s="93"/>
      <c r="D7" s="93"/>
      <c r="E7" s="93"/>
      <c r="F7" s="93"/>
      <c r="G7" s="93"/>
      <c r="H7" s="93"/>
      <c r="I7" s="93"/>
      <c r="J7" s="93"/>
      <c r="K7" s="93"/>
      <c r="L7" s="93"/>
      <c r="M7" s="91"/>
      <c r="N7" s="91"/>
      <c r="O7" s="91"/>
      <c r="P7" s="91"/>
      <c r="Q7" s="91"/>
      <c r="R7" s="91"/>
      <c r="S7" s="91"/>
      <c r="T7" s="91">
        <f>0.391548328687531*100</f>
        <v>39.154832868753097</v>
      </c>
      <c r="U7" s="91">
        <f>0.39007544218116*100</f>
        <v>39.007544218116003</v>
      </c>
      <c r="V7" s="91">
        <f>0.394749715898289*100</f>
        <v>39.474971589828897</v>
      </c>
      <c r="W7" s="91">
        <f>0.399010217219341*100</f>
        <v>39.9010217219341</v>
      </c>
      <c r="X7" s="91">
        <f>0.400124358775066*100</f>
        <v>40.012435877506604</v>
      </c>
      <c r="Y7" s="91">
        <f>0.395354579071559*100</f>
        <v>39.535457907155902</v>
      </c>
      <c r="Z7" s="91">
        <f>0.400343065728275*100</f>
        <v>40.034306572827496</v>
      </c>
      <c r="AA7" s="91">
        <f>0.389866227354661*100</f>
        <v>38.986622735466099</v>
      </c>
      <c r="AB7" s="91">
        <f>0.410214344416023*100</f>
        <v>41.021434441602302</v>
      </c>
    </row>
    <row r="8" spans="1:28">
      <c r="A8" s="12" t="s">
        <v>57</v>
      </c>
      <c r="B8" s="70" t="s">
        <v>54</v>
      </c>
      <c r="C8" s="91">
        <f>0.393550942137736*100</f>
        <v>39.355094213773597</v>
      </c>
      <c r="D8" s="91">
        <f>0.373418456767364*100</f>
        <v>37.341845676736405</v>
      </c>
      <c r="E8" s="91">
        <f>0.384439187975328*100</f>
        <v>38.443918797532803</v>
      </c>
      <c r="F8" s="91">
        <f>0.395661141621729*100</f>
        <v>39.566114162172902</v>
      </c>
      <c r="G8" s="91">
        <f>0.420143357820328*100</f>
        <v>42.014335782032802</v>
      </c>
      <c r="H8" s="91">
        <f>0.423752047547644*100</f>
        <v>42.375204754764404</v>
      </c>
      <c r="I8" s="91">
        <f>0.423513885980589*100</f>
        <v>42.351388598058897</v>
      </c>
      <c r="J8" s="91">
        <f>0.442341379630036*100</f>
        <v>44.234137963003597</v>
      </c>
      <c r="K8" s="91">
        <f>0.441474852265907*100</f>
        <v>44.147485226590696</v>
      </c>
      <c r="L8" s="91">
        <f>0.431146405106709*100</f>
        <v>43.114640510670895</v>
      </c>
      <c r="M8" s="91">
        <f>0.427758192079315*100</f>
        <v>42.775819207931498</v>
      </c>
      <c r="N8" s="91">
        <f>0.404*100</f>
        <v>40.400000000000006</v>
      </c>
      <c r="O8" s="91">
        <f>0.396*100</f>
        <v>39.6</v>
      </c>
      <c r="P8" s="91">
        <f>0.42*100</f>
        <v>42</v>
      </c>
      <c r="Q8" s="91">
        <f>0.426*100</f>
        <v>42.6</v>
      </c>
      <c r="R8" s="91">
        <f>0.441*100</f>
        <v>44.1</v>
      </c>
      <c r="S8" s="91">
        <f>0.463*100</f>
        <v>46.300000000000004</v>
      </c>
      <c r="T8" s="91">
        <f>0.452*100</f>
        <v>45.2</v>
      </c>
      <c r="U8" s="91">
        <f>0.453*100</f>
        <v>45.300000000000004</v>
      </c>
      <c r="V8" s="91">
        <f>0.475*100</f>
        <v>47.5</v>
      </c>
      <c r="W8" s="91">
        <f>0.503*100</f>
        <v>50.3</v>
      </c>
      <c r="X8" s="91"/>
      <c r="Y8" s="91"/>
      <c r="Z8" s="91"/>
      <c r="AA8" s="91"/>
      <c r="AB8" s="91"/>
    </row>
    <row r="9" spans="1:28">
      <c r="A9" s="12" t="s">
        <v>7</v>
      </c>
      <c r="B9" s="70" t="s">
        <v>56</v>
      </c>
      <c r="C9" s="91"/>
      <c r="D9" s="91"/>
      <c r="E9" s="91"/>
      <c r="F9" s="91"/>
      <c r="G9" s="91"/>
      <c r="H9" s="91"/>
      <c r="I9" s="91"/>
      <c r="J9" s="91"/>
      <c r="K9" s="91"/>
      <c r="L9" s="91"/>
      <c r="M9" s="91"/>
      <c r="N9" s="91"/>
      <c r="O9" s="91"/>
      <c r="P9" s="91"/>
      <c r="Q9" s="91"/>
      <c r="R9" s="91"/>
      <c r="S9" s="91"/>
      <c r="T9" s="91">
        <f>0.482296618584593*100</f>
        <v>48.229661858459302</v>
      </c>
      <c r="U9" s="91">
        <f>0.48395848748743*100</f>
        <v>48.395848748742999</v>
      </c>
      <c r="V9" s="91">
        <f>0.509747898367257*100</f>
        <v>50.974789836725698</v>
      </c>
      <c r="W9" s="91">
        <f>0.538225641073661*100</f>
        <v>53.822564107366098</v>
      </c>
      <c r="X9" s="91">
        <f>0.542656268187638*100</f>
        <v>54.265626818763799</v>
      </c>
      <c r="Y9" s="91">
        <f>0.549609940130346*100</f>
        <v>54.9609940130346</v>
      </c>
      <c r="Z9" s="91">
        <f>0.546020830673258*100</f>
        <v>54.6020830673258</v>
      </c>
      <c r="AA9" s="91">
        <f>0.54049334709373*100</f>
        <v>54.049334709372999</v>
      </c>
      <c r="AB9" s="91">
        <f>0.549314353238616*100</f>
        <v>54.931435323861599</v>
      </c>
    </row>
    <row r="10" spans="1:28">
      <c r="A10" s="12" t="s">
        <v>6</v>
      </c>
      <c r="B10" s="70" t="s">
        <v>54</v>
      </c>
      <c r="C10" s="91">
        <f>0.135371664328281*100</f>
        <v>13.5371664328281</v>
      </c>
      <c r="D10" s="91">
        <f>0.155308136086699*100</f>
        <v>15.530813608669899</v>
      </c>
      <c r="E10" s="91">
        <f>0.146446078431373*100</f>
        <v>14.644607843137299</v>
      </c>
      <c r="F10" s="91">
        <f>0.138852423148452*100</f>
        <v>13.8852423148452</v>
      </c>
      <c r="G10" s="91">
        <f>0.14887798711025*100</f>
        <v>14.887798711024999</v>
      </c>
      <c r="H10" s="91">
        <f>0.170998934801555*100</f>
        <v>17.099893480155501</v>
      </c>
      <c r="I10" s="91">
        <f>0.192890117321885*100</f>
        <v>19.289011732188499</v>
      </c>
      <c r="J10" s="91">
        <f>0.189152561921513*100</f>
        <v>18.9152561921513</v>
      </c>
      <c r="K10" s="91">
        <f>0.186684543632773*100</f>
        <v>18.668454363277302</v>
      </c>
      <c r="L10" s="91">
        <f>0.188053442144486*100</f>
        <v>18.805344214448599</v>
      </c>
      <c r="M10" s="91">
        <f>0.189500941619586*100</f>
        <v>18.950094161958599</v>
      </c>
      <c r="N10" s="91">
        <f>0.176*100</f>
        <v>17.599999999999998</v>
      </c>
      <c r="O10" s="91">
        <f>0.186*100</f>
        <v>18.600000000000001</v>
      </c>
      <c r="P10" s="91">
        <f>0.219*100</f>
        <v>21.9</v>
      </c>
      <c r="Q10" s="91">
        <f>0.25*100</f>
        <v>25</v>
      </c>
      <c r="R10" s="91">
        <f>0.257*100</f>
        <v>25.7</v>
      </c>
      <c r="S10" s="91">
        <f>0.269*100</f>
        <v>26.900000000000002</v>
      </c>
      <c r="T10" s="91">
        <f>0.277*100</f>
        <v>27.700000000000003</v>
      </c>
      <c r="U10" s="91">
        <f>0.279*100</f>
        <v>27.900000000000002</v>
      </c>
      <c r="V10" s="91">
        <f>0.277*100</f>
        <v>27.700000000000003</v>
      </c>
      <c r="W10" s="91">
        <f>0.284*100</f>
        <v>28.4</v>
      </c>
      <c r="X10" s="91"/>
      <c r="Y10" s="91"/>
      <c r="Z10" s="91"/>
      <c r="AA10" s="91"/>
      <c r="AB10" s="91"/>
    </row>
    <row r="11" spans="1:28" ht="13.5" thickBot="1">
      <c r="A11" s="67" t="s">
        <v>6</v>
      </c>
      <c r="B11" s="71" t="s">
        <v>56</v>
      </c>
      <c r="C11" s="94"/>
      <c r="D11" s="94"/>
      <c r="E11" s="94"/>
      <c r="F11" s="94"/>
      <c r="G11" s="94"/>
      <c r="H11" s="94"/>
      <c r="I11" s="94"/>
      <c r="J11" s="94"/>
      <c r="K11" s="94"/>
      <c r="L11" s="94"/>
      <c r="M11" s="95"/>
      <c r="N11" s="95"/>
      <c r="O11" s="95"/>
      <c r="P11" s="95"/>
      <c r="Q11" s="95"/>
      <c r="R11" s="95"/>
      <c r="S11" s="95"/>
      <c r="T11" s="95">
        <f>0.275136880882093*100</f>
        <v>27.5136880882093</v>
      </c>
      <c r="U11" s="95">
        <f>0.276220727453911*100</f>
        <v>27.622072745391101</v>
      </c>
      <c r="V11" s="95">
        <f>0.275584524603116*100</f>
        <v>27.558452460311599</v>
      </c>
      <c r="W11" s="95">
        <f>0.284153931849556*100</f>
        <v>28.415393184955601</v>
      </c>
      <c r="X11" s="95">
        <f>0.287586256642062*100</f>
        <v>28.7586256642062</v>
      </c>
      <c r="Y11" s="95">
        <f>0.288698054287773*100</f>
        <v>28.869805428777301</v>
      </c>
      <c r="Z11" s="95">
        <f>0.288296228328585*100</f>
        <v>28.829622832858497</v>
      </c>
      <c r="AA11" s="95">
        <f>0.283076773187841*100</f>
        <v>28.307677318784101</v>
      </c>
      <c r="AB11" s="95">
        <f>0.273217721703973*100</f>
        <v>27.321772170397303</v>
      </c>
    </row>
    <row r="12" spans="1:28" ht="16.5" customHeight="1">
      <c r="A12" s="99" t="s">
        <v>67</v>
      </c>
      <c r="B12" s="12"/>
      <c r="C12" s="90"/>
      <c r="D12" s="90"/>
      <c r="E12" s="90"/>
      <c r="F12" s="90"/>
      <c r="G12" s="90"/>
      <c r="H12" s="90"/>
      <c r="I12" s="90"/>
      <c r="J12" s="90"/>
      <c r="K12" s="90"/>
      <c r="L12" s="90"/>
      <c r="M12" s="90"/>
      <c r="N12" s="90"/>
      <c r="O12" s="90"/>
      <c r="P12" s="90"/>
      <c r="Q12" s="90"/>
      <c r="R12" s="90"/>
      <c r="S12" s="90"/>
      <c r="T12" s="90"/>
      <c r="U12" s="90"/>
      <c r="V12" s="90"/>
      <c r="W12" s="90"/>
      <c r="X12" s="90"/>
      <c r="Y12" s="90"/>
      <c r="AB12" s="37" t="s">
        <v>82</v>
      </c>
    </row>
    <row r="13" spans="1:28" ht="12.75" customHeight="1">
      <c r="A13" s="126" t="s">
        <v>62</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8" ht="11.25" customHeight="1">
      <c r="A14" s="127" t="s">
        <v>63</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row>
    <row r="15" spans="1:28">
      <c r="A15" s="125" t="s">
        <v>83</v>
      </c>
      <c r="B15" s="125"/>
      <c r="C15" s="125"/>
      <c r="D15" s="125"/>
      <c r="E15" s="125"/>
      <c r="F15" s="125"/>
      <c r="G15" s="125"/>
      <c r="H15" s="125"/>
      <c r="I15" s="125"/>
      <c r="J15" s="125"/>
      <c r="K15" s="49"/>
      <c r="L15" s="49"/>
      <c r="M15" s="49"/>
      <c r="N15" s="49"/>
      <c r="O15" s="49"/>
      <c r="P15" s="49"/>
      <c r="Q15" s="49"/>
      <c r="R15" s="49"/>
      <c r="S15" s="49"/>
      <c r="T15" s="49"/>
      <c r="U15" s="49"/>
      <c r="V15" s="49"/>
      <c r="W15" s="49"/>
      <c r="X15" s="37"/>
      <c r="Y15" s="37"/>
    </row>
    <row r="19" spans="19:19">
      <c r="S19" s="24"/>
    </row>
    <row r="20" spans="19:19">
      <c r="S20" s="24"/>
    </row>
    <row r="21" spans="19:19">
      <c r="S21" s="24"/>
    </row>
  </sheetData>
  <mergeCells count="3">
    <mergeCell ref="A15:J15"/>
    <mergeCell ref="A13:Y13"/>
    <mergeCell ref="A14:Y14"/>
  </mergeCells>
  <pageMargins left="0.7" right="0.7" top="0.75" bottom="0.75" header="0.3" footer="0.3"/>
  <pageSetup paperSize="9"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24"/>
  <sheetViews>
    <sheetView topLeftCell="A10" workbookViewId="0">
      <selection activeCell="A2" sqref="A2"/>
    </sheetView>
  </sheetViews>
  <sheetFormatPr baseColWidth="10" defaultRowHeight="12.75"/>
  <cols>
    <col min="1" max="1" width="41" customWidth="1"/>
    <col min="2" max="10" width="8.7109375" customWidth="1"/>
  </cols>
  <sheetData>
    <row r="1" spans="1:12" ht="15">
      <c r="A1" s="74" t="s">
        <v>81</v>
      </c>
      <c r="B1" s="75"/>
      <c r="D1" s="2"/>
    </row>
    <row r="2" spans="1:12" ht="15.75">
      <c r="A2" s="1"/>
      <c r="D2" s="2"/>
    </row>
    <row r="3" spans="1:12">
      <c r="A3" s="36" t="s">
        <v>60</v>
      </c>
      <c r="B3" s="28"/>
      <c r="C3" s="28"/>
      <c r="D3" s="28"/>
      <c r="E3" s="28"/>
      <c r="F3" s="28"/>
      <c r="G3" s="28"/>
      <c r="H3" s="28"/>
      <c r="I3" s="28"/>
    </row>
    <row r="4" spans="1:12">
      <c r="A4" s="36"/>
      <c r="B4" s="28"/>
      <c r="C4" s="28"/>
      <c r="D4" s="28"/>
      <c r="E4" s="28"/>
      <c r="F4" s="28"/>
      <c r="G4" s="28"/>
      <c r="H4" s="28"/>
      <c r="I4" s="28"/>
    </row>
    <row r="5" spans="1:12" ht="13.5" thickBot="1">
      <c r="A5" s="33"/>
      <c r="B5" s="50" t="s">
        <v>46</v>
      </c>
      <c r="C5" s="50" t="s">
        <v>1</v>
      </c>
      <c r="D5" s="50" t="s">
        <v>2</v>
      </c>
      <c r="E5" s="50" t="s">
        <v>24</v>
      </c>
      <c r="F5" s="50" t="s">
        <v>29</v>
      </c>
      <c r="G5" s="33" t="s">
        <v>59</v>
      </c>
      <c r="H5" s="50" t="s">
        <v>66</v>
      </c>
      <c r="I5" s="50" t="s">
        <v>70</v>
      </c>
      <c r="J5" s="50" t="s">
        <v>74</v>
      </c>
    </row>
    <row r="6" spans="1:12">
      <c r="A6" s="12" t="s">
        <v>25</v>
      </c>
      <c r="B6" s="51">
        <v>452616</v>
      </c>
      <c r="C6" s="51">
        <v>496427</v>
      </c>
      <c r="D6" s="51">
        <v>593057</v>
      </c>
      <c r="E6" s="51">
        <v>681078</v>
      </c>
      <c r="F6" s="51">
        <v>691215</v>
      </c>
      <c r="G6" s="6">
        <v>696983</v>
      </c>
      <c r="H6" s="6">
        <v>712166</v>
      </c>
      <c r="I6" s="6">
        <v>717955</v>
      </c>
      <c r="J6" s="6">
        <v>749562</v>
      </c>
    </row>
    <row r="7" spans="1:12">
      <c r="A7" s="13" t="s">
        <v>26</v>
      </c>
      <c r="B7" s="52"/>
      <c r="C7" s="52"/>
      <c r="D7" s="52">
        <v>23344</v>
      </c>
      <c r="E7" s="52">
        <v>36239</v>
      </c>
      <c r="F7" s="52">
        <v>39110</v>
      </c>
      <c r="G7" s="14">
        <v>41666</v>
      </c>
      <c r="H7" s="14">
        <v>41993</v>
      </c>
      <c r="I7" s="14">
        <v>38757</v>
      </c>
      <c r="J7" s="14">
        <v>45353</v>
      </c>
    </row>
    <row r="8" spans="1:12">
      <c r="A8" s="3" t="s">
        <v>4</v>
      </c>
      <c r="B8" s="96">
        <v>27.047257835353111</v>
      </c>
      <c r="C8" s="96">
        <v>28.740655742260593</v>
      </c>
      <c r="D8" s="96">
        <v>33.437331795752307</v>
      </c>
      <c r="E8" s="96">
        <v>34.759576864189093</v>
      </c>
      <c r="F8" s="96"/>
      <c r="G8" s="6"/>
      <c r="H8" s="97"/>
      <c r="I8" s="97"/>
      <c r="J8" s="97"/>
    </row>
    <row r="9" spans="1:12" ht="13.5" thickBot="1">
      <c r="A9" s="3" t="s">
        <v>64</v>
      </c>
      <c r="B9" s="51"/>
      <c r="C9" s="51"/>
      <c r="D9" s="51"/>
      <c r="E9" s="96">
        <v>37.862299014363536</v>
      </c>
      <c r="F9" s="96">
        <v>37.7005168867572</v>
      </c>
      <c r="G9" s="98">
        <v>37.363845157607628</v>
      </c>
      <c r="H9" s="98">
        <v>37.725072691241927</v>
      </c>
      <c r="I9" s="98">
        <v>36.792318430314666</v>
      </c>
      <c r="J9" s="98">
        <v>38.4</v>
      </c>
    </row>
    <row r="10" spans="1:12" ht="22.5">
      <c r="A10" s="34" t="s">
        <v>65</v>
      </c>
      <c r="B10" s="53">
        <v>478600</v>
      </c>
      <c r="C10" s="53">
        <v>522242</v>
      </c>
      <c r="D10" s="53">
        <v>665114</v>
      </c>
      <c r="E10" s="53">
        <v>711261</v>
      </c>
      <c r="F10" s="53">
        <v>719436</v>
      </c>
      <c r="G10" s="35">
        <v>730487</v>
      </c>
      <c r="H10" s="53">
        <v>745083</v>
      </c>
      <c r="I10" s="53">
        <v>818257</v>
      </c>
      <c r="J10" s="53">
        <v>800191</v>
      </c>
      <c r="K10" s="65"/>
      <c r="L10" s="87"/>
    </row>
    <row r="11" spans="1:12">
      <c r="A11" s="3" t="s">
        <v>4</v>
      </c>
      <c r="B11" s="4">
        <v>28.619095741818199</v>
      </c>
      <c r="C11" s="4">
        <v>30.235215925301517</v>
      </c>
      <c r="D11" s="5">
        <v>37.5</v>
      </c>
      <c r="E11" s="5">
        <v>36.299999999999997</v>
      </c>
      <c r="F11" s="5"/>
      <c r="G11" s="5"/>
      <c r="H11" s="5"/>
      <c r="I11" s="5"/>
      <c r="J11" s="5"/>
    </row>
    <row r="12" spans="1:12" ht="13.5" thickBot="1">
      <c r="A12" s="31" t="s">
        <v>64</v>
      </c>
      <c r="B12" s="100"/>
      <c r="C12" s="32"/>
      <c r="D12" s="31"/>
      <c r="E12" s="31">
        <v>39.547630161860582</v>
      </c>
      <c r="F12" s="31">
        <v>39.246739186415638</v>
      </c>
      <c r="G12" s="31">
        <v>39.337259051634774</v>
      </c>
      <c r="H12" s="31">
        <v>39.468761968429568</v>
      </c>
      <c r="I12" s="31">
        <v>41.93239423339066</v>
      </c>
      <c r="J12" s="31">
        <v>40.96845772142774</v>
      </c>
    </row>
    <row r="13" spans="1:12" ht="21.75" customHeight="1">
      <c r="A13" s="89" t="s">
        <v>67</v>
      </c>
      <c r="B13" s="30"/>
      <c r="C13" s="30"/>
      <c r="D13" s="30"/>
      <c r="E13" s="30"/>
      <c r="F13" s="27"/>
      <c r="G13" s="27"/>
      <c r="H13" s="27"/>
      <c r="I13" s="37"/>
      <c r="J13" s="106" t="s">
        <v>85</v>
      </c>
    </row>
    <row r="14" spans="1:12" ht="45.75" customHeight="1">
      <c r="A14" s="128" t="s">
        <v>75</v>
      </c>
      <c r="B14" s="127"/>
      <c r="C14" s="127"/>
      <c r="D14" s="127"/>
      <c r="E14" s="127"/>
      <c r="F14" s="127"/>
      <c r="G14" s="127"/>
      <c r="H14" s="127"/>
      <c r="I14" s="127"/>
      <c r="J14" s="129"/>
    </row>
    <row r="15" spans="1:12" ht="18" customHeight="1">
      <c r="J15" s="28"/>
    </row>
    <row r="16" spans="1:12" ht="24" customHeight="1">
      <c r="A16" s="125" t="s">
        <v>86</v>
      </c>
      <c r="B16" s="125"/>
      <c r="C16" s="125"/>
      <c r="D16" s="125"/>
      <c r="E16" s="125"/>
      <c r="F16" s="125"/>
      <c r="G16" s="125"/>
      <c r="H16" s="125"/>
      <c r="I16" s="125"/>
      <c r="J16" s="28"/>
    </row>
    <row r="17" spans="1:10">
      <c r="A17" s="28"/>
      <c r="B17" s="28"/>
      <c r="C17" s="28"/>
      <c r="D17" s="28"/>
      <c r="E17" s="28"/>
      <c r="F17" s="28"/>
      <c r="G17" s="28"/>
      <c r="H17" s="28"/>
      <c r="I17" s="28"/>
      <c r="J17" s="28"/>
    </row>
    <row r="18" spans="1:10">
      <c r="A18" s="28"/>
      <c r="B18" s="28"/>
      <c r="C18" s="28"/>
      <c r="D18" s="28"/>
      <c r="E18" s="28"/>
      <c r="F18" s="28"/>
      <c r="G18" s="28"/>
      <c r="H18" s="28"/>
      <c r="I18" s="28"/>
    </row>
    <row r="19" spans="1:10">
      <c r="A19" s="28"/>
      <c r="B19" s="28"/>
      <c r="C19" s="28"/>
      <c r="D19" s="28"/>
      <c r="E19" s="28"/>
      <c r="F19" s="28"/>
      <c r="G19" s="28"/>
      <c r="H19" s="28"/>
      <c r="I19" s="28"/>
      <c r="J19" s="28"/>
    </row>
    <row r="20" spans="1:10">
      <c r="A20" s="28"/>
      <c r="B20" s="28"/>
      <c r="C20" s="28"/>
      <c r="D20" s="28"/>
      <c r="E20" s="28"/>
      <c r="F20" s="28"/>
      <c r="G20" s="28"/>
      <c r="H20" s="28"/>
      <c r="I20" s="28"/>
      <c r="J20" s="62"/>
    </row>
    <row r="21" spans="1:10">
      <c r="A21" s="28"/>
      <c r="B21" s="28"/>
      <c r="C21" s="28"/>
      <c r="D21" s="28"/>
      <c r="E21" s="28"/>
      <c r="F21" s="28"/>
      <c r="G21" s="28"/>
      <c r="H21" s="28"/>
      <c r="I21" s="61"/>
      <c r="J21" s="28"/>
    </row>
    <row r="22" spans="1:10">
      <c r="A22" s="63"/>
      <c r="B22" s="63"/>
      <c r="C22" s="63"/>
      <c r="D22" s="63"/>
      <c r="E22" s="63"/>
      <c r="F22" s="63"/>
      <c r="G22" s="63"/>
      <c r="H22" s="63"/>
      <c r="I22" s="28"/>
    </row>
    <row r="23" spans="1:10" ht="52.5" customHeight="1">
      <c r="A23" s="63"/>
      <c r="B23" s="63"/>
      <c r="C23" s="63"/>
      <c r="D23" s="63"/>
      <c r="E23" s="63"/>
      <c r="F23" s="63"/>
      <c r="G23" s="63"/>
      <c r="H23" s="63"/>
      <c r="I23" s="63"/>
    </row>
    <row r="24" spans="1:10" ht="32.25" customHeight="1">
      <c r="A24" s="66"/>
      <c r="B24" s="66"/>
      <c r="C24" s="66"/>
      <c r="D24" s="66"/>
      <c r="E24" s="66"/>
      <c r="F24" s="66"/>
      <c r="G24" s="66"/>
      <c r="H24" s="66"/>
      <c r="I24" s="66"/>
    </row>
  </sheetData>
  <mergeCells count="2">
    <mergeCell ref="A16:I16"/>
    <mergeCell ref="A14:J14"/>
  </mergeCells>
  <phoneticPr fontId="1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28"/>
  <sheetViews>
    <sheetView topLeftCell="A13" workbookViewId="0">
      <selection activeCell="A2" sqref="A2"/>
    </sheetView>
  </sheetViews>
  <sheetFormatPr baseColWidth="10" defaultRowHeight="12.75"/>
  <cols>
    <col min="1" max="1" width="36" customWidth="1"/>
    <col min="2" max="8" width="7.85546875" customWidth="1"/>
    <col min="9" max="9" width="14.28515625" customWidth="1"/>
  </cols>
  <sheetData>
    <row r="1" spans="1:10" ht="15">
      <c r="A1" s="74" t="s">
        <v>81</v>
      </c>
      <c r="B1" s="75"/>
      <c r="D1" s="2"/>
    </row>
    <row r="3" spans="1:10">
      <c r="A3" s="132" t="s">
        <v>58</v>
      </c>
      <c r="B3" s="132"/>
      <c r="C3" s="132"/>
      <c r="D3" s="132"/>
      <c r="E3" s="132"/>
      <c r="F3" s="132"/>
      <c r="G3" s="132"/>
      <c r="H3" s="132"/>
      <c r="I3" s="132"/>
    </row>
    <row r="4" spans="1:10">
      <c r="A4" s="54"/>
      <c r="B4" s="54"/>
      <c r="C4" s="54"/>
      <c r="D4" s="54"/>
      <c r="E4" s="54"/>
      <c r="F4" s="54"/>
      <c r="G4" s="54"/>
      <c r="H4" s="54"/>
      <c r="I4" s="54"/>
    </row>
    <row r="5" spans="1:10" ht="12.75" customHeight="1">
      <c r="A5" s="133"/>
      <c r="B5" s="135" t="s">
        <v>61</v>
      </c>
      <c r="C5" s="136"/>
      <c r="D5" s="136"/>
      <c r="E5" s="136"/>
      <c r="F5" s="136"/>
      <c r="G5" s="136"/>
      <c r="H5" s="137"/>
      <c r="I5" s="134" t="s">
        <v>76</v>
      </c>
      <c r="J5" s="131" t="s">
        <v>77</v>
      </c>
    </row>
    <row r="6" spans="1:10" ht="33" customHeight="1">
      <c r="A6" s="133"/>
      <c r="B6" s="85">
        <v>2014</v>
      </c>
      <c r="C6" s="85">
        <v>2015</v>
      </c>
      <c r="D6" s="85">
        <v>2016</v>
      </c>
      <c r="E6" s="85">
        <v>2017</v>
      </c>
      <c r="F6" s="85">
        <v>2018</v>
      </c>
      <c r="G6" s="86">
        <v>2019</v>
      </c>
      <c r="H6" s="86">
        <v>2020</v>
      </c>
      <c r="I6" s="134"/>
      <c r="J6" s="131"/>
    </row>
    <row r="7" spans="1:10">
      <c r="A7" s="15" t="s">
        <v>30</v>
      </c>
      <c r="B7" s="16">
        <v>39.474971589828947</v>
      </c>
      <c r="C7" s="16">
        <v>39.901021721934093</v>
      </c>
      <c r="D7" s="16">
        <v>40.012435877506604</v>
      </c>
      <c r="E7" s="16">
        <v>39.535457907155902</v>
      </c>
      <c r="F7" s="16">
        <v>40.034306572827475</v>
      </c>
      <c r="G7" s="17">
        <v>38.986622735466064</v>
      </c>
      <c r="H7" s="17">
        <v>41.021434441602331</v>
      </c>
      <c r="I7" s="18">
        <v>532594</v>
      </c>
      <c r="J7" s="101">
        <v>13.2</v>
      </c>
    </row>
    <row r="8" spans="1:10">
      <c r="A8" s="19" t="s">
        <v>5</v>
      </c>
      <c r="B8" s="77">
        <v>44.534532866848075</v>
      </c>
      <c r="C8" s="77">
        <v>44.587743732590532</v>
      </c>
      <c r="D8" s="77">
        <v>43.917521949953176</v>
      </c>
      <c r="E8" s="77">
        <v>44.378571561528581</v>
      </c>
      <c r="F8" s="77">
        <v>44.838836442064284</v>
      </c>
      <c r="G8" s="78">
        <v>43.771999042459811</v>
      </c>
      <c r="H8" s="78">
        <v>45.18766291766164</v>
      </c>
      <c r="I8" s="79">
        <v>49579</v>
      </c>
      <c r="J8" s="102">
        <v>12.1</v>
      </c>
    </row>
    <row r="9" spans="1:10">
      <c r="A9" s="80" t="s">
        <v>15</v>
      </c>
      <c r="B9" s="81">
        <v>38.032081727753386</v>
      </c>
      <c r="C9" s="81">
        <v>37.199898913318172</v>
      </c>
      <c r="D9" s="81">
        <v>35.833097252013438</v>
      </c>
      <c r="E9" s="81">
        <v>35.9049123233305</v>
      </c>
      <c r="F9" s="81">
        <v>35.451955041950292</v>
      </c>
      <c r="G9" s="82">
        <v>34.000611246943762</v>
      </c>
      <c r="H9" s="82">
        <v>33.967545638945232</v>
      </c>
      <c r="I9" s="83">
        <v>8373</v>
      </c>
      <c r="J9" s="103">
        <v>7.1</v>
      </c>
    </row>
    <row r="10" spans="1:10">
      <c r="A10" s="84" t="s">
        <v>6</v>
      </c>
      <c r="B10" s="20">
        <v>27.558452460311582</v>
      </c>
      <c r="C10" s="20">
        <v>28.415393184955558</v>
      </c>
      <c r="D10" s="20">
        <v>28.7586256642062</v>
      </c>
      <c r="E10" s="20">
        <v>28.869805428777301</v>
      </c>
      <c r="F10" s="20">
        <v>28.829622832858455</v>
      </c>
      <c r="G10" s="21">
        <v>28.307677318784101</v>
      </c>
      <c r="H10" s="21">
        <v>27.3</v>
      </c>
      <c r="I10" s="22">
        <v>22435</v>
      </c>
      <c r="J10" s="104">
        <v>6.6</v>
      </c>
    </row>
    <row r="11" spans="1:10">
      <c r="A11" s="80" t="s">
        <v>31</v>
      </c>
      <c r="B11" s="81">
        <v>25.510707048578784</v>
      </c>
      <c r="C11" s="81">
        <v>26.907155529272618</v>
      </c>
      <c r="D11" s="81">
        <v>27.768911586338973</v>
      </c>
      <c r="E11" s="81">
        <v>28.331545064377682</v>
      </c>
      <c r="F11" s="81">
        <v>28.097740694587419</v>
      </c>
      <c r="G11" s="82">
        <v>27.877490531862342</v>
      </c>
      <c r="H11" s="82">
        <v>27.321772170397253</v>
      </c>
      <c r="I11" s="83">
        <v>5035</v>
      </c>
      <c r="J11" s="103">
        <v>8.1</v>
      </c>
    </row>
    <row r="12" spans="1:10">
      <c r="A12" s="19" t="s">
        <v>32</v>
      </c>
      <c r="B12" s="77">
        <v>28.672056351556872</v>
      </c>
      <c r="C12" s="77">
        <v>30.400890868596882</v>
      </c>
      <c r="D12" s="77">
        <v>31.107544141252006</v>
      </c>
      <c r="E12" s="77">
        <v>30.016103059581322</v>
      </c>
      <c r="F12" s="77">
        <v>30.933226065969428</v>
      </c>
      <c r="G12" s="78">
        <v>30.526838144074102</v>
      </c>
      <c r="H12" s="78">
        <v>30</v>
      </c>
      <c r="I12" s="79">
        <v>3611</v>
      </c>
      <c r="J12" s="102">
        <v>6.6</v>
      </c>
    </row>
    <row r="13" spans="1:10">
      <c r="A13" s="80" t="s">
        <v>33</v>
      </c>
      <c r="B13" s="81">
        <v>28.025629800612887</v>
      </c>
      <c r="C13" s="81">
        <v>28.475558754303719</v>
      </c>
      <c r="D13" s="81">
        <v>28.553270164085973</v>
      </c>
      <c r="E13" s="81">
        <v>28.789272030651343</v>
      </c>
      <c r="F13" s="81">
        <v>28.586280587589762</v>
      </c>
      <c r="G13" s="82">
        <v>27.941006138759121</v>
      </c>
      <c r="H13" s="82">
        <v>26.7</v>
      </c>
      <c r="I13" s="83">
        <v>13789</v>
      </c>
      <c r="J13" s="103">
        <v>6.1</v>
      </c>
    </row>
    <row r="14" spans="1:10">
      <c r="A14" s="84" t="s">
        <v>34</v>
      </c>
      <c r="B14" s="20">
        <v>50.974789836725648</v>
      </c>
      <c r="C14" s="20">
        <v>53.822564107366084</v>
      </c>
      <c r="D14" s="20">
        <v>54.26562681876382</v>
      </c>
      <c r="E14" s="20">
        <v>54.9609940130346</v>
      </c>
      <c r="F14" s="20">
        <v>54.602083067325758</v>
      </c>
      <c r="G14" s="21">
        <v>54.049334709373042</v>
      </c>
      <c r="H14" s="21">
        <v>54.931435323861614</v>
      </c>
      <c r="I14" s="22">
        <v>119934</v>
      </c>
      <c r="J14" s="104">
        <v>21.2</v>
      </c>
    </row>
    <row r="15" spans="1:10">
      <c r="A15" s="80" t="s">
        <v>35</v>
      </c>
      <c r="B15" s="81">
        <v>47.204163410538214</v>
      </c>
      <c r="C15" s="81">
        <v>50.229380345381266</v>
      </c>
      <c r="D15" s="81">
        <v>50.883334690222256</v>
      </c>
      <c r="E15" s="81">
        <v>52.20523662384128</v>
      </c>
      <c r="F15" s="81">
        <v>51.042748701558125</v>
      </c>
      <c r="G15" s="82">
        <v>49.737222441203521</v>
      </c>
      <c r="H15" s="82">
        <v>49.6</v>
      </c>
      <c r="I15" s="83">
        <v>30259</v>
      </c>
      <c r="J15" s="103">
        <v>18.2</v>
      </c>
    </row>
    <row r="16" spans="1:10">
      <c r="A16" s="19" t="s">
        <v>36</v>
      </c>
      <c r="B16" s="77">
        <v>53.225762247344981</v>
      </c>
      <c r="C16" s="77">
        <v>56.051755200087349</v>
      </c>
      <c r="D16" s="77">
        <v>56.343237996986524</v>
      </c>
      <c r="E16" s="77">
        <v>57.723896779789655</v>
      </c>
      <c r="F16" s="77">
        <v>56.855434261745188</v>
      </c>
      <c r="G16" s="78">
        <v>56.213148969475604</v>
      </c>
      <c r="H16" s="78">
        <v>57.4</v>
      </c>
      <c r="I16" s="79">
        <v>89234</v>
      </c>
      <c r="J16" s="102">
        <v>22.5</v>
      </c>
    </row>
    <row r="17" spans="1:10">
      <c r="A17" s="15" t="s">
        <v>37</v>
      </c>
      <c r="B17" s="16">
        <v>24.34720445481225</v>
      </c>
      <c r="C17" s="16">
        <v>24.131894871444711</v>
      </c>
      <c r="D17" s="16">
        <v>23.114746234289552</v>
      </c>
      <c r="E17" s="16">
        <v>23.815044258474323</v>
      </c>
      <c r="F17" s="16">
        <v>22.976343083556692</v>
      </c>
      <c r="G17" s="17">
        <v>22.524819681033158</v>
      </c>
      <c r="H17" s="17">
        <v>22.831766524845108</v>
      </c>
      <c r="I17" s="18">
        <v>20231</v>
      </c>
      <c r="J17" s="101">
        <v>4.7</v>
      </c>
    </row>
    <row r="18" spans="1:10">
      <c r="A18" s="84" t="s">
        <v>38</v>
      </c>
      <c r="B18" s="20">
        <v>14.181124812246477</v>
      </c>
      <c r="C18" s="20">
        <v>14.647513452995774</v>
      </c>
      <c r="D18" s="20">
        <v>13.839754597135855</v>
      </c>
      <c r="E18" s="20">
        <v>13.490571366324811</v>
      </c>
      <c r="F18" s="20">
        <v>12.608597285067875</v>
      </c>
      <c r="G18" s="21">
        <v>11.973222684877964</v>
      </c>
      <c r="H18" s="21">
        <v>12.358390495721661</v>
      </c>
      <c r="I18" s="22">
        <v>17476</v>
      </c>
      <c r="J18" s="104">
        <v>3.3748751194113655</v>
      </c>
    </row>
    <row r="19" spans="1:10">
      <c r="A19" s="15" t="s">
        <v>39</v>
      </c>
      <c r="B19" s="16">
        <v>20.941738462850807</v>
      </c>
      <c r="C19" s="16">
        <v>21.551397939878076</v>
      </c>
      <c r="D19" s="16">
        <v>20.266864956417564</v>
      </c>
      <c r="E19" s="16">
        <v>21.546453546453549</v>
      </c>
      <c r="F19" s="16">
        <v>21.590450842809904</v>
      </c>
      <c r="G19" s="17">
        <v>21.195012938132205</v>
      </c>
      <c r="H19" s="17">
        <v>23.288588108429703</v>
      </c>
      <c r="I19" s="18">
        <v>6263</v>
      </c>
      <c r="J19" s="101">
        <v>7.7</v>
      </c>
    </row>
    <row r="20" spans="1:10">
      <c r="A20" s="84" t="s">
        <v>72</v>
      </c>
      <c r="B20" s="20">
        <v>24.990752727945257</v>
      </c>
      <c r="C20" s="20">
        <v>26.296112787712264</v>
      </c>
      <c r="D20" s="20">
        <v>26.419878296146045</v>
      </c>
      <c r="E20" s="20">
        <v>26.877516712928575</v>
      </c>
      <c r="F20" s="20">
        <v>28.293118191619882</v>
      </c>
      <c r="G20" s="21">
        <v>26.797785250857704</v>
      </c>
      <c r="H20" s="21">
        <v>27.363382528919029</v>
      </c>
      <c r="I20" s="22">
        <v>8918</v>
      </c>
      <c r="J20" s="104">
        <v>6.4</v>
      </c>
    </row>
    <row r="21" spans="1:10">
      <c r="A21" s="15" t="s">
        <v>8</v>
      </c>
      <c r="B21" s="16">
        <v>22.419548671384696</v>
      </c>
      <c r="C21" s="16">
        <v>22.105241638727616</v>
      </c>
      <c r="D21" s="16">
        <v>21.463414634146343</v>
      </c>
      <c r="E21" s="16">
        <v>19.436316032650545</v>
      </c>
      <c r="F21" s="16">
        <v>20.972856850576278</v>
      </c>
      <c r="G21" s="17">
        <v>21.714234320661948</v>
      </c>
      <c r="H21" s="17">
        <v>27.062213046559641</v>
      </c>
      <c r="I21" s="18">
        <v>17565</v>
      </c>
      <c r="J21" s="101">
        <v>7.3</v>
      </c>
    </row>
    <row r="22" spans="1:10">
      <c r="A22" s="84" t="s">
        <v>40</v>
      </c>
      <c r="B22" s="20"/>
      <c r="C22" s="20"/>
      <c r="D22" s="20"/>
      <c r="E22" s="20"/>
      <c r="F22" s="20"/>
      <c r="G22" s="21"/>
      <c r="H22" s="21"/>
      <c r="I22" s="22">
        <v>4146</v>
      </c>
      <c r="J22" s="104"/>
    </row>
    <row r="23" spans="1:10">
      <c r="A23" s="38" t="s">
        <v>27</v>
      </c>
      <c r="B23" s="39">
        <v>37.165641679511012</v>
      </c>
      <c r="C23" s="39">
        <v>37.862299014363536</v>
      </c>
      <c r="D23" s="39">
        <v>37.7005168867572</v>
      </c>
      <c r="E23" s="39">
        <v>37.524132859128706</v>
      </c>
      <c r="F23" s="39">
        <v>37.531352981466583</v>
      </c>
      <c r="G23" s="40">
        <v>36.792318430314666</v>
      </c>
      <c r="H23" s="40">
        <v>38.376336532888793</v>
      </c>
      <c r="I23" s="41">
        <v>749562</v>
      </c>
      <c r="J23" s="105">
        <v>12.3</v>
      </c>
    </row>
    <row r="24" spans="1:10">
      <c r="A24" s="29" t="s">
        <v>68</v>
      </c>
      <c r="B24" s="29"/>
      <c r="C24" s="29"/>
      <c r="D24" s="29"/>
      <c r="E24" s="28"/>
      <c r="F24" s="28"/>
      <c r="G24" s="28"/>
      <c r="I24" s="28"/>
      <c r="J24" s="37" t="s">
        <v>85</v>
      </c>
    </row>
    <row r="25" spans="1:10" ht="17.25" customHeight="1">
      <c r="A25" s="30" t="s">
        <v>69</v>
      </c>
      <c r="B25" s="30"/>
      <c r="C25" s="30"/>
      <c r="D25" s="30"/>
      <c r="E25" s="28"/>
      <c r="F25" s="28"/>
      <c r="G25" s="28"/>
      <c r="H25" s="28"/>
      <c r="I25" s="28"/>
    </row>
    <row r="26" spans="1:10">
      <c r="A26" s="30"/>
      <c r="B26" s="30"/>
      <c r="C26" s="30"/>
      <c r="D26" s="30"/>
      <c r="E26" s="28"/>
      <c r="F26" s="28"/>
      <c r="G26" s="28"/>
      <c r="H26" s="28"/>
      <c r="I26" s="28"/>
    </row>
    <row r="27" spans="1:10" ht="27.75" customHeight="1">
      <c r="A27" s="125" t="s">
        <v>87</v>
      </c>
      <c r="B27" s="125"/>
      <c r="C27" s="125"/>
      <c r="D27" s="125"/>
      <c r="E27" s="125"/>
      <c r="F27" s="125"/>
      <c r="G27" s="125"/>
      <c r="H27" s="125"/>
      <c r="I27" s="125"/>
      <c r="J27" s="130"/>
    </row>
    <row r="28" spans="1:10">
      <c r="A28" s="28"/>
      <c r="B28" s="28"/>
      <c r="C28" s="28"/>
      <c r="D28" s="28"/>
      <c r="E28" s="28"/>
      <c r="F28" s="28"/>
      <c r="G28" s="28"/>
      <c r="H28" s="28"/>
      <c r="I28" s="28"/>
    </row>
  </sheetData>
  <mergeCells count="6">
    <mergeCell ref="A27:J27"/>
    <mergeCell ref="J5:J6"/>
    <mergeCell ref="A3:I3"/>
    <mergeCell ref="A5:A6"/>
    <mergeCell ref="I5:I6"/>
    <mergeCell ref="B5:H5"/>
  </mergeCells>
  <phoneticPr fontId="10" type="noConversion"/>
  <pageMargins left="0.39370078740157483" right="0.39370078740157483" top="0.98425196850393704" bottom="0.98425196850393704"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M20"/>
  <sheetViews>
    <sheetView topLeftCell="A10" zoomScale="106" workbookViewId="0">
      <selection activeCell="A2" sqref="A2"/>
    </sheetView>
  </sheetViews>
  <sheetFormatPr baseColWidth="10" defaultRowHeight="12.75"/>
  <cols>
    <col min="1" max="1" width="25.7109375" customWidth="1"/>
    <col min="2" max="2" width="13.85546875" customWidth="1"/>
    <col min="3" max="3" width="13.5703125" customWidth="1"/>
    <col min="4" max="4" width="15" customWidth="1"/>
    <col min="5" max="6" width="14.5703125" customWidth="1"/>
  </cols>
  <sheetData>
    <row r="1" spans="1:13" ht="15">
      <c r="A1" s="140" t="s">
        <v>81</v>
      </c>
      <c r="B1" s="140"/>
      <c r="D1" s="2"/>
    </row>
    <row r="3" spans="1:13">
      <c r="A3" s="138" t="s">
        <v>73</v>
      </c>
      <c r="B3" s="138"/>
      <c r="C3" s="138"/>
      <c r="D3" s="138"/>
      <c r="E3" s="138"/>
      <c r="F3" s="138"/>
    </row>
    <row r="4" spans="1:13">
      <c r="A4" s="55"/>
      <c r="B4" s="55"/>
      <c r="C4" s="55"/>
      <c r="D4" s="55"/>
      <c r="E4" s="55"/>
      <c r="F4" s="55"/>
    </row>
    <row r="5" spans="1:13">
      <c r="A5" s="139" t="s">
        <v>28</v>
      </c>
      <c r="B5" s="42" t="s">
        <v>9</v>
      </c>
      <c r="C5" s="42" t="s">
        <v>11</v>
      </c>
      <c r="D5" s="42" t="s">
        <v>11</v>
      </c>
      <c r="E5" s="42" t="s">
        <v>11</v>
      </c>
      <c r="F5" s="42" t="s">
        <v>11</v>
      </c>
    </row>
    <row r="6" spans="1:13">
      <c r="A6" s="139"/>
      <c r="B6" s="42" t="s">
        <v>78</v>
      </c>
      <c r="C6" s="42">
        <v>2020</v>
      </c>
      <c r="D6" s="42" t="s">
        <v>79</v>
      </c>
      <c r="E6" s="42">
        <v>2019</v>
      </c>
      <c r="F6" s="42" t="s">
        <v>71</v>
      </c>
      <c r="M6" s="60"/>
    </row>
    <row r="7" spans="1:13">
      <c r="A7" s="56" t="s">
        <v>16</v>
      </c>
      <c r="B7" s="57">
        <v>1032</v>
      </c>
      <c r="C7" s="58">
        <v>238162</v>
      </c>
      <c r="D7" s="59">
        <v>31.77</v>
      </c>
      <c r="E7" s="58">
        <v>230931</v>
      </c>
      <c r="F7" s="59">
        <v>32.159999999999997</v>
      </c>
      <c r="H7" s="64"/>
      <c r="I7" s="60"/>
      <c r="J7" s="64"/>
      <c r="M7" s="60"/>
    </row>
    <row r="8" spans="1:13">
      <c r="A8" s="7" t="s">
        <v>17</v>
      </c>
      <c r="B8" s="9">
        <v>1707</v>
      </c>
      <c r="C8" s="25">
        <v>105137</v>
      </c>
      <c r="D8" s="10">
        <v>14.03</v>
      </c>
      <c r="E8" s="25">
        <v>102604</v>
      </c>
      <c r="F8" s="10">
        <v>14.29</v>
      </c>
      <c r="H8" s="64"/>
      <c r="I8" s="65"/>
      <c r="J8" s="64"/>
      <c r="M8" s="60"/>
    </row>
    <row r="9" spans="1:13">
      <c r="A9" s="8" t="s">
        <v>18</v>
      </c>
      <c r="B9" s="88">
        <v>2571</v>
      </c>
      <c r="C9" s="26">
        <v>55004</v>
      </c>
      <c r="D9" s="11">
        <v>7.34</v>
      </c>
      <c r="E9" s="26">
        <v>53248</v>
      </c>
      <c r="F9" s="11">
        <v>7.42</v>
      </c>
      <c r="H9" s="64"/>
      <c r="I9" s="65"/>
      <c r="J9" s="64"/>
      <c r="M9" s="60"/>
    </row>
    <row r="10" spans="1:13">
      <c r="A10" s="7" t="s">
        <v>19</v>
      </c>
      <c r="B10" s="9">
        <v>3292</v>
      </c>
      <c r="C10" s="25">
        <v>55578</v>
      </c>
      <c r="D10" s="10">
        <v>7.41</v>
      </c>
      <c r="E10" s="25">
        <v>53504</v>
      </c>
      <c r="F10" s="10">
        <v>7.45</v>
      </c>
      <c r="H10" s="64"/>
      <c r="I10" s="65"/>
      <c r="J10" s="64"/>
      <c r="M10" s="60"/>
    </row>
    <row r="11" spans="1:13">
      <c r="A11" s="8" t="s">
        <v>20</v>
      </c>
      <c r="B11" s="88">
        <v>4015</v>
      </c>
      <c r="C11" s="26">
        <v>53554</v>
      </c>
      <c r="D11" s="11">
        <v>7.14</v>
      </c>
      <c r="E11" s="26">
        <v>51185</v>
      </c>
      <c r="F11" s="11">
        <v>7.13</v>
      </c>
      <c r="H11" s="64"/>
      <c r="I11" s="65"/>
      <c r="J11" s="64"/>
      <c r="M11" s="60"/>
    </row>
    <row r="12" spans="1:13">
      <c r="A12" s="7" t="s">
        <v>22</v>
      </c>
      <c r="B12" s="9">
        <v>4610</v>
      </c>
      <c r="C12" s="25">
        <v>97850</v>
      </c>
      <c r="D12" s="10">
        <v>13.05</v>
      </c>
      <c r="E12" s="25">
        <v>93688</v>
      </c>
      <c r="F12" s="10">
        <v>13.05</v>
      </c>
      <c r="H12" s="64"/>
      <c r="I12" s="65"/>
      <c r="J12" s="64"/>
      <c r="M12" s="60"/>
    </row>
    <row r="13" spans="1:13">
      <c r="A13" s="8" t="s">
        <v>21</v>
      </c>
      <c r="B13" s="88">
        <v>4889</v>
      </c>
      <c r="C13" s="26">
        <v>88185</v>
      </c>
      <c r="D13" s="11">
        <v>11.76</v>
      </c>
      <c r="E13" s="26">
        <v>83614</v>
      </c>
      <c r="F13" s="11">
        <v>11.65</v>
      </c>
      <c r="H13" s="64"/>
      <c r="I13" s="65"/>
      <c r="J13" s="64"/>
      <c r="M13" s="60"/>
    </row>
    <row r="14" spans="1:13">
      <c r="A14" s="7" t="s">
        <v>23</v>
      </c>
      <c r="B14" s="9">
        <v>5679</v>
      </c>
      <c r="C14" s="25">
        <v>56092</v>
      </c>
      <c r="D14" s="10">
        <v>7.48</v>
      </c>
      <c r="E14" s="25">
        <v>49181</v>
      </c>
      <c r="F14" s="10">
        <v>6.85</v>
      </c>
      <c r="H14" s="64"/>
      <c r="I14" s="65"/>
      <c r="J14" s="64"/>
    </row>
    <row r="15" spans="1:13">
      <c r="A15" s="43" t="s">
        <v>10</v>
      </c>
      <c r="B15" s="43"/>
      <c r="C15" s="44">
        <v>749562</v>
      </c>
      <c r="D15" s="45">
        <v>100</v>
      </c>
      <c r="E15" s="44">
        <v>717955</v>
      </c>
      <c r="F15" s="45">
        <v>100</v>
      </c>
      <c r="H15" s="65"/>
    </row>
    <row r="16" spans="1:13">
      <c r="A16" s="46" t="s">
        <v>68</v>
      </c>
      <c r="B16" s="47"/>
      <c r="C16" s="48"/>
      <c r="D16" s="48"/>
      <c r="E16" s="48"/>
      <c r="F16" s="37" t="s">
        <v>85</v>
      </c>
    </row>
    <row r="17" spans="1:6">
      <c r="A17" s="46"/>
      <c r="B17" s="47"/>
      <c r="C17" s="48"/>
      <c r="D17" s="48"/>
      <c r="E17" s="48"/>
      <c r="F17" s="37"/>
    </row>
    <row r="18" spans="1:6">
      <c r="A18" s="141" t="s">
        <v>88</v>
      </c>
      <c r="B18" s="129"/>
      <c r="C18" s="129"/>
      <c r="D18" s="129"/>
      <c r="E18" s="129"/>
      <c r="F18" s="129"/>
    </row>
    <row r="19" spans="1:6">
      <c r="A19" s="28"/>
      <c r="B19" s="28"/>
      <c r="C19" s="28"/>
      <c r="D19" s="28"/>
      <c r="E19" s="28"/>
      <c r="F19" s="28"/>
    </row>
    <row r="20" spans="1:6">
      <c r="A20" s="28"/>
      <c r="B20" s="28"/>
      <c r="C20" s="28"/>
      <c r="D20" s="28"/>
      <c r="E20" s="28"/>
      <c r="F20" s="28"/>
    </row>
  </sheetData>
  <mergeCells count="4">
    <mergeCell ref="A3:F3"/>
    <mergeCell ref="A5:A6"/>
    <mergeCell ref="A1:B1"/>
    <mergeCell ref="A18:F18"/>
  </mergeCells>
  <phoneticPr fontId="10" type="noConversion"/>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9.07 Notice</vt:lpstr>
      <vt:lpstr>9.07 Graphique 1</vt:lpstr>
      <vt:lpstr>9.07 Tableau 2</vt:lpstr>
      <vt:lpstr>9.07 Tableau 3</vt:lpstr>
      <vt:lpstr>9.07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;9.07 </dc:title>
  <dc:creator>DEPP-MENJ - Ministère de l'Education nationale et de la Jeunesse; Direction de l'évaluation de la prospective et de la performance</dc:creator>
  <cp:lastModifiedBy>Administration centrale</cp:lastModifiedBy>
  <cp:lastPrinted>2019-05-24T07:54:28Z</cp:lastPrinted>
  <dcterms:created xsi:type="dcterms:W3CDTF">2012-07-13T14:56:27Z</dcterms:created>
  <dcterms:modified xsi:type="dcterms:W3CDTF">2022-08-16T09:13:13Z</dcterms:modified>
  <cp:contentStatus>Publié</cp:contentStatus>
</cp:coreProperties>
</file>